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296" windowHeight="10896" firstSheet="17" activeTab="21"/>
  </bookViews>
  <sheets>
    <sheet name="Школа екстернів" sheetId="1" r:id="rId1"/>
    <sheet name="Спорт. ліцей" sheetId="2" r:id="rId2"/>
    <sheet name="Палац" sheetId="3" r:id="rId3"/>
    <sheet name="Тур станція" sheetId="4" r:id="rId4"/>
    <sheet name="МАН" sheetId="5" r:id="rId5"/>
    <sheet name="БХТТ" sheetId="28" r:id="rId6"/>
    <sheet name="Відділи ДОМНС 401 (2)" sheetId="21" r:id="rId7"/>
    <sheet name="ПТУ" sheetId="6" r:id="rId8"/>
    <sheet name="Грінченка 601" sheetId="16" r:id="rId9"/>
    <sheet name="Грінченка 602" sheetId="15" r:id="rId10"/>
    <sheet name="Грінченка 701" sheetId="31" r:id="rId11"/>
    <sheet name="Центр ПК" sheetId="8" r:id="rId12"/>
    <sheet name="Центр моніторингу" sheetId="10" r:id="rId13"/>
    <sheet name="Відділи ДОМНС 802 " sheetId="18" r:id="rId14"/>
    <sheet name="Відділи ДОМНС 803" sheetId="17" r:id="rId15"/>
    <sheet name="Відділи ДОМНС 804" sheetId="19" r:id="rId16"/>
    <sheet name="Відділи ДОМНС 807 (2)" sheetId="20" r:id="rId17"/>
    <sheet name="Відділи ДОМНС201" sheetId="9" r:id="rId18"/>
    <sheet name="Будинок вчителя" sheetId="11" r:id="rId19"/>
    <sheet name="Група впровадження (807)" sheetId="29" r:id="rId20"/>
    <sheet name="Свод" sheetId="12" r:id="rId21"/>
    <sheet name="Свод без КЕКв" sheetId="14" r:id="rId22"/>
  </sheets>
  <definedNames>
    <definedName name="_xlnm.Print_Titles" localSheetId="0">'Школа екстернів'!$1:$5</definedName>
  </definedNames>
  <calcPr calcId="145621" refMode="R1C1"/>
</workbook>
</file>

<file path=xl/calcChain.xml><?xml version="1.0" encoding="utf-8"?>
<calcChain xmlns="http://schemas.openxmlformats.org/spreadsheetml/2006/main">
  <c r="P7" i="14" l="1"/>
  <c r="D7" i="14"/>
  <c r="E7" i="14"/>
  <c r="F7" i="14"/>
  <c r="G7" i="14"/>
  <c r="H7" i="14"/>
  <c r="I7" i="14"/>
  <c r="J7" i="14"/>
  <c r="K7" i="14"/>
  <c r="L7" i="14"/>
  <c r="M7" i="14"/>
  <c r="N7" i="14"/>
  <c r="O7" i="14"/>
  <c r="C7" i="14"/>
  <c r="R7" i="12"/>
  <c r="R6" i="12"/>
  <c r="Q6" i="12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D8" i="20"/>
  <c r="R10" i="12"/>
  <c r="Q10" i="12"/>
  <c r="R6" i="17"/>
  <c r="Q16" i="12" l="1"/>
  <c r="R12" i="2"/>
  <c r="Q12" i="2"/>
  <c r="R18" i="12"/>
  <c r="Q18" i="12"/>
  <c r="S17" i="12"/>
  <c r="R17" i="12"/>
  <c r="Q17" i="12"/>
  <c r="R16" i="12"/>
  <c r="P6" i="14"/>
  <c r="E19" i="14"/>
  <c r="F19" i="14"/>
  <c r="G19" i="14"/>
  <c r="H19" i="14"/>
  <c r="I19" i="14"/>
  <c r="J19" i="14"/>
  <c r="K19" i="14"/>
  <c r="L19" i="14"/>
  <c r="M19" i="14"/>
  <c r="N19" i="14"/>
  <c r="O19" i="14"/>
  <c r="Q21" i="14"/>
  <c r="P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C21" i="14"/>
  <c r="C8" i="14"/>
  <c r="R7" i="19" l="1"/>
  <c r="Q7" i="19"/>
  <c r="Q6" i="17" l="1"/>
  <c r="R7" i="18"/>
  <c r="Q7" i="18"/>
  <c r="R6" i="10"/>
  <c r="Q6" i="10"/>
  <c r="R6" i="31"/>
  <c r="Q6" i="31"/>
  <c r="R6" i="15"/>
  <c r="Q6" i="15"/>
  <c r="R7" i="16" l="1"/>
  <c r="Q7" i="16"/>
  <c r="R6" i="6"/>
  <c r="Q6" i="6"/>
  <c r="R6" i="11" l="1"/>
  <c r="Q6" i="11"/>
  <c r="R6" i="8"/>
  <c r="Q6" i="8"/>
  <c r="Q6" i="28"/>
  <c r="P6" i="28"/>
  <c r="R6" i="5"/>
  <c r="Q6" i="5"/>
  <c r="R6" i="4"/>
  <c r="Q6" i="4"/>
  <c r="Q6" i="3"/>
  <c r="P6" i="3"/>
  <c r="R6" i="2"/>
  <c r="Q6" i="2"/>
  <c r="R6" i="1"/>
  <c r="Q6" i="1"/>
  <c r="E8" i="14" l="1"/>
  <c r="F8" i="14"/>
  <c r="G8" i="14"/>
  <c r="H8" i="14"/>
  <c r="I8" i="14"/>
  <c r="J8" i="14"/>
  <c r="K8" i="14"/>
  <c r="L8" i="14"/>
  <c r="M8" i="14"/>
  <c r="N8" i="14"/>
  <c r="O8" i="14"/>
  <c r="E22" i="14"/>
  <c r="F22" i="14"/>
  <c r="G22" i="14"/>
  <c r="H22" i="14"/>
  <c r="I22" i="14"/>
  <c r="J22" i="14"/>
  <c r="K22" i="14"/>
  <c r="L22" i="14"/>
  <c r="M22" i="14"/>
  <c r="N22" i="14"/>
  <c r="O22" i="14"/>
  <c r="E6" i="14"/>
  <c r="F6" i="14"/>
  <c r="G6" i="14"/>
  <c r="H6" i="14"/>
  <c r="I6" i="14"/>
  <c r="J6" i="14"/>
  <c r="K6" i="14"/>
  <c r="L6" i="14"/>
  <c r="M6" i="14"/>
  <c r="N6" i="14"/>
  <c r="O6" i="14"/>
  <c r="R20" i="12" l="1"/>
  <c r="Q20" i="12"/>
  <c r="R19" i="12"/>
  <c r="Q19" i="12"/>
  <c r="Q21" i="12"/>
  <c r="S21" i="12" s="1"/>
  <c r="R15" i="12"/>
  <c r="Q15" i="12"/>
  <c r="R14" i="12"/>
  <c r="Q14" i="12"/>
  <c r="R13" i="12"/>
  <c r="Q13" i="12"/>
  <c r="Q12" i="12" s="1"/>
  <c r="R11" i="12"/>
  <c r="Q11" i="12"/>
  <c r="R9" i="12"/>
  <c r="Q9" i="12"/>
  <c r="R8" i="12"/>
  <c r="Q8" i="12"/>
  <c r="Q7" i="12"/>
  <c r="Q22" i="12"/>
  <c r="P16" i="31"/>
  <c r="L16" i="31"/>
  <c r="H16" i="31"/>
  <c r="D15" i="31"/>
  <c r="D14" i="31"/>
  <c r="D13" i="31"/>
  <c r="D12" i="31"/>
  <c r="D10" i="31" s="1"/>
  <c r="D11" i="31"/>
  <c r="S10" i="31"/>
  <c r="R10" i="31"/>
  <c r="R16" i="31" s="1"/>
  <c r="Q10" i="31"/>
  <c r="Q16" i="31" s="1"/>
  <c r="P10" i="31"/>
  <c r="O10" i="31"/>
  <c r="O16" i="31" s="1"/>
  <c r="N10" i="31"/>
  <c r="N16" i="31" s="1"/>
  <c r="M10" i="31"/>
  <c r="M16" i="31" s="1"/>
  <c r="L10" i="31"/>
  <c r="K10" i="31"/>
  <c r="K16" i="31" s="1"/>
  <c r="J10" i="31"/>
  <c r="J16" i="31" s="1"/>
  <c r="I10" i="31"/>
  <c r="I16" i="31" s="1"/>
  <c r="H10" i="31"/>
  <c r="G10" i="31"/>
  <c r="G16" i="31" s="1"/>
  <c r="F10" i="31"/>
  <c r="F16" i="31" s="1"/>
  <c r="E10" i="31"/>
  <c r="E16" i="31" s="1"/>
  <c r="D9" i="31"/>
  <c r="D8" i="31"/>
  <c r="D7" i="31"/>
  <c r="R22" i="12" l="1"/>
  <c r="R12" i="12"/>
  <c r="D16" i="31"/>
  <c r="Q9" i="11"/>
  <c r="Q7" i="29" l="1"/>
  <c r="R9" i="10" l="1"/>
  <c r="P7" i="29" l="1"/>
  <c r="O7" i="29"/>
  <c r="N7" i="29"/>
  <c r="K7" i="29"/>
  <c r="J7" i="29"/>
  <c r="G7" i="29"/>
  <c r="F7" i="29"/>
  <c r="D6" i="29"/>
  <c r="M7" i="29"/>
  <c r="L7" i="29"/>
  <c r="I7" i="29"/>
  <c r="H7" i="29"/>
  <c r="E7" i="29"/>
  <c r="D7" i="29" l="1"/>
  <c r="E11" i="14" l="1"/>
  <c r="F11" i="14"/>
  <c r="G11" i="14"/>
  <c r="H11" i="14"/>
  <c r="I11" i="14"/>
  <c r="J11" i="14"/>
  <c r="K11" i="14"/>
  <c r="L11" i="14"/>
  <c r="M11" i="14"/>
  <c r="N11" i="14"/>
  <c r="O11" i="14"/>
  <c r="O15" i="28" l="1"/>
  <c r="M15" i="28"/>
  <c r="K15" i="28"/>
  <c r="I15" i="28"/>
  <c r="G15" i="28"/>
  <c r="E15" i="28"/>
  <c r="D14" i="28"/>
  <c r="D13" i="28"/>
  <c r="D12" i="28"/>
  <c r="D11" i="28"/>
  <c r="R10" i="28"/>
  <c r="Q10" i="28"/>
  <c r="P10" i="28"/>
  <c r="O10" i="28"/>
  <c r="N10" i="28"/>
  <c r="N15" i="28" s="1"/>
  <c r="M10" i="28"/>
  <c r="L10" i="28"/>
  <c r="L15" i="28" s="1"/>
  <c r="K10" i="28"/>
  <c r="J10" i="28"/>
  <c r="J15" i="28" s="1"/>
  <c r="I10" i="28"/>
  <c r="H10" i="28"/>
  <c r="H15" i="28" s="1"/>
  <c r="G10" i="28"/>
  <c r="F10" i="28"/>
  <c r="F15" i="28" s="1"/>
  <c r="E10" i="28"/>
  <c r="D10" i="28"/>
  <c r="D9" i="28"/>
  <c r="D8" i="28"/>
  <c r="D7" i="28"/>
  <c r="D15" i="28" s="1"/>
  <c r="Q15" i="28" l="1"/>
  <c r="P11" i="14" s="1"/>
  <c r="P15" i="28"/>
  <c r="D7" i="6"/>
  <c r="D8" i="6"/>
  <c r="D9" i="6"/>
  <c r="D11" i="6"/>
  <c r="D10" i="6" s="1"/>
  <c r="D17" i="6" s="1"/>
  <c r="D12" i="6"/>
  <c r="D13" i="6"/>
  <c r="D14" i="6"/>
  <c r="D15" i="6"/>
  <c r="D16" i="6"/>
  <c r="D7" i="3"/>
  <c r="D8" i="3"/>
  <c r="D9" i="3"/>
  <c r="D11" i="3"/>
  <c r="D10" i="3" s="1"/>
  <c r="D15" i="3" s="1"/>
  <c r="D12" i="3"/>
  <c r="D13" i="3"/>
  <c r="D14" i="3"/>
  <c r="D7" i="4"/>
  <c r="D8" i="4"/>
  <c r="D15" i="4" s="1"/>
  <c r="D9" i="4"/>
  <c r="D11" i="4"/>
  <c r="D10" i="4" s="1"/>
  <c r="D12" i="4"/>
  <c r="D13" i="4"/>
  <c r="D14" i="4"/>
  <c r="D11" i="14" l="1"/>
  <c r="C11" i="14"/>
  <c r="Q11" i="14" s="1"/>
  <c r="E20" i="12"/>
  <c r="F20" i="12"/>
  <c r="G20" i="12"/>
  <c r="H20" i="12"/>
  <c r="I20" i="12"/>
  <c r="J20" i="12"/>
  <c r="K20" i="12"/>
  <c r="L20" i="12"/>
  <c r="M20" i="12"/>
  <c r="N20" i="12"/>
  <c r="O20" i="12"/>
  <c r="P20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E9" i="12"/>
  <c r="F9" i="12"/>
  <c r="G9" i="12"/>
  <c r="H9" i="12"/>
  <c r="I9" i="12"/>
  <c r="J9" i="12"/>
  <c r="K9" i="12"/>
  <c r="L9" i="12"/>
  <c r="M9" i="12"/>
  <c r="N9" i="12"/>
  <c r="O9" i="12"/>
  <c r="P9" i="12"/>
  <c r="E8" i="12"/>
  <c r="F8" i="12"/>
  <c r="G8" i="12"/>
  <c r="H8" i="12"/>
  <c r="I8" i="12"/>
  <c r="J8" i="12"/>
  <c r="K8" i="12"/>
  <c r="L8" i="12"/>
  <c r="M8" i="12"/>
  <c r="N8" i="12"/>
  <c r="O8" i="12"/>
  <c r="P8" i="12"/>
  <c r="E6" i="12"/>
  <c r="F6" i="12"/>
  <c r="G6" i="12"/>
  <c r="H6" i="12"/>
  <c r="I6" i="12"/>
  <c r="J6" i="12"/>
  <c r="K6" i="12"/>
  <c r="L6" i="12"/>
  <c r="M6" i="12"/>
  <c r="N6" i="12"/>
  <c r="O6" i="12"/>
  <c r="P6" i="12"/>
  <c r="E13" i="11"/>
  <c r="F13" i="11"/>
  <c r="G13" i="11"/>
  <c r="H13" i="11"/>
  <c r="I13" i="11"/>
  <c r="J13" i="11"/>
  <c r="K13" i="11"/>
  <c r="L13" i="11"/>
  <c r="M13" i="11"/>
  <c r="N13" i="11"/>
  <c r="O13" i="11"/>
  <c r="P13" i="11"/>
  <c r="E9" i="11"/>
  <c r="F9" i="11"/>
  <c r="G9" i="11"/>
  <c r="H9" i="11"/>
  <c r="I9" i="11"/>
  <c r="J9" i="11"/>
  <c r="K9" i="11"/>
  <c r="L9" i="11"/>
  <c r="M9" i="11"/>
  <c r="N9" i="11"/>
  <c r="O9" i="11"/>
  <c r="P9" i="11"/>
  <c r="Q13" i="11"/>
  <c r="C18" i="14" s="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C19" i="14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E18" i="18"/>
  <c r="F18" i="18"/>
  <c r="G18" i="18"/>
  <c r="H18" i="18"/>
  <c r="I18" i="18"/>
  <c r="J18" i="18"/>
  <c r="K18" i="18"/>
  <c r="L18" i="18"/>
  <c r="M18" i="18"/>
  <c r="N18" i="18"/>
  <c r="O18" i="18"/>
  <c r="P18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Q18" i="18" s="1"/>
  <c r="E13" i="10"/>
  <c r="F13" i="10"/>
  <c r="G13" i="10"/>
  <c r="H13" i="10"/>
  <c r="I13" i="10"/>
  <c r="J13" i="10"/>
  <c r="K13" i="10"/>
  <c r="L13" i="10"/>
  <c r="M13" i="10"/>
  <c r="N13" i="10"/>
  <c r="O13" i="10"/>
  <c r="P13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Q13" i="10" s="1"/>
  <c r="C20" i="14" s="1"/>
  <c r="E16" i="8"/>
  <c r="F16" i="8"/>
  <c r="G16" i="8"/>
  <c r="H16" i="8"/>
  <c r="I16" i="8"/>
  <c r="J16" i="8"/>
  <c r="K16" i="8"/>
  <c r="L16" i="8"/>
  <c r="M16" i="8"/>
  <c r="N16" i="8"/>
  <c r="O16" i="8"/>
  <c r="P16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Q16" i="8" s="1"/>
  <c r="C17" i="14" s="1"/>
  <c r="E18" i="15"/>
  <c r="F18" i="15"/>
  <c r="G18" i="15"/>
  <c r="H18" i="15"/>
  <c r="I18" i="15"/>
  <c r="J18" i="15"/>
  <c r="K18" i="15"/>
  <c r="L18" i="15"/>
  <c r="M18" i="15"/>
  <c r="N18" i="15"/>
  <c r="O18" i="15"/>
  <c r="P18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Q18" i="15" s="1"/>
  <c r="E18" i="16"/>
  <c r="F18" i="16"/>
  <c r="G18" i="16"/>
  <c r="H18" i="16"/>
  <c r="I18" i="16"/>
  <c r="J18" i="16"/>
  <c r="K18" i="16"/>
  <c r="L18" i="16"/>
  <c r="M18" i="16"/>
  <c r="N18" i="16"/>
  <c r="O18" i="16"/>
  <c r="P18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Q18" i="16" s="1"/>
  <c r="H17" i="6"/>
  <c r="L17" i="6"/>
  <c r="E10" i="6"/>
  <c r="E17" i="6" s="1"/>
  <c r="F10" i="6"/>
  <c r="F17" i="6" s="1"/>
  <c r="G10" i="6"/>
  <c r="G17" i="6" s="1"/>
  <c r="H10" i="6"/>
  <c r="I10" i="6"/>
  <c r="I17" i="6" s="1"/>
  <c r="J10" i="6"/>
  <c r="J17" i="6" s="1"/>
  <c r="K10" i="6"/>
  <c r="K17" i="6" s="1"/>
  <c r="L10" i="6"/>
  <c r="M10" i="6"/>
  <c r="M17" i="6" s="1"/>
  <c r="N10" i="6"/>
  <c r="N17" i="6" s="1"/>
  <c r="O10" i="6"/>
  <c r="O17" i="6" s="1"/>
  <c r="P10" i="6"/>
  <c r="P17" i="6" s="1"/>
  <c r="Q10" i="6"/>
  <c r="Q17" i="6" s="1"/>
  <c r="C12" i="14" s="1"/>
  <c r="E17" i="5"/>
  <c r="F17" i="5"/>
  <c r="G17" i="5"/>
  <c r="H17" i="5"/>
  <c r="I17" i="5"/>
  <c r="J17" i="5"/>
  <c r="K17" i="5"/>
  <c r="L17" i="5"/>
  <c r="M17" i="5"/>
  <c r="N17" i="5"/>
  <c r="O17" i="5"/>
  <c r="P17" i="5"/>
  <c r="Q10" i="5"/>
  <c r="Q17" i="5" s="1"/>
  <c r="C10" i="14" s="1"/>
  <c r="E10" i="5"/>
  <c r="F10" i="5"/>
  <c r="G10" i="5"/>
  <c r="H10" i="5"/>
  <c r="I10" i="5"/>
  <c r="J10" i="5"/>
  <c r="K10" i="5"/>
  <c r="L10" i="5"/>
  <c r="M10" i="5"/>
  <c r="N10" i="5"/>
  <c r="O10" i="5"/>
  <c r="P10" i="5"/>
  <c r="E10" i="4"/>
  <c r="E15" i="4" s="1"/>
  <c r="F10" i="4"/>
  <c r="F15" i="4" s="1"/>
  <c r="G10" i="4"/>
  <c r="G15" i="4" s="1"/>
  <c r="H10" i="4"/>
  <c r="H15" i="4" s="1"/>
  <c r="I10" i="4"/>
  <c r="I15" i="4" s="1"/>
  <c r="J10" i="4"/>
  <c r="J15" i="4" s="1"/>
  <c r="K10" i="4"/>
  <c r="K15" i="4" s="1"/>
  <c r="L10" i="4"/>
  <c r="L15" i="4" s="1"/>
  <c r="M10" i="4"/>
  <c r="M15" i="4" s="1"/>
  <c r="N10" i="4"/>
  <c r="N15" i="4" s="1"/>
  <c r="O10" i="4"/>
  <c r="O15" i="4" s="1"/>
  <c r="P10" i="4"/>
  <c r="Q10" i="4"/>
  <c r="Q15" i="4" s="1"/>
  <c r="C9" i="14" s="1"/>
  <c r="E10" i="3"/>
  <c r="F10" i="3"/>
  <c r="G10" i="3"/>
  <c r="H10" i="3"/>
  <c r="I10" i="3"/>
  <c r="J10" i="3"/>
  <c r="K10" i="3"/>
  <c r="L10" i="3"/>
  <c r="M10" i="3"/>
  <c r="N10" i="3"/>
  <c r="O10" i="3"/>
  <c r="P10" i="3"/>
  <c r="P15" i="3" s="1"/>
  <c r="E12" i="2"/>
  <c r="E16" i="2" s="1"/>
  <c r="F12" i="2"/>
  <c r="F16" i="2" s="1"/>
  <c r="G12" i="2"/>
  <c r="G16" i="2" s="1"/>
  <c r="H12" i="2"/>
  <c r="H16" i="2" s="1"/>
  <c r="I12" i="2"/>
  <c r="I16" i="2" s="1"/>
  <c r="J12" i="2"/>
  <c r="J16" i="2" s="1"/>
  <c r="K12" i="2"/>
  <c r="K16" i="2" s="1"/>
  <c r="L12" i="2"/>
  <c r="L16" i="2" s="1"/>
  <c r="M12" i="2"/>
  <c r="M16" i="2" s="1"/>
  <c r="N12" i="2"/>
  <c r="N16" i="2" s="1"/>
  <c r="O12" i="2"/>
  <c r="O16" i="2" s="1"/>
  <c r="P12" i="2"/>
  <c r="P16" i="2" s="1"/>
  <c r="Q16" i="2"/>
  <c r="C22" i="14" s="1"/>
  <c r="E9" i="1"/>
  <c r="F9" i="1"/>
  <c r="G9" i="1"/>
  <c r="H9" i="1"/>
  <c r="I9" i="1"/>
  <c r="J9" i="1"/>
  <c r="K9" i="1"/>
  <c r="L9" i="1"/>
  <c r="M9" i="1"/>
  <c r="N9" i="1"/>
  <c r="O9" i="1"/>
  <c r="P9" i="1"/>
  <c r="Q9" i="1"/>
  <c r="Q13" i="1" s="1"/>
  <c r="P7" i="1"/>
  <c r="O7" i="1" s="1"/>
  <c r="N7" i="1" s="1"/>
  <c r="M7" i="1" s="1"/>
  <c r="L7" i="1" s="1"/>
  <c r="K7" i="1" s="1"/>
  <c r="J7" i="1" s="1"/>
  <c r="I7" i="1" s="1"/>
  <c r="H7" i="1" s="1"/>
  <c r="G7" i="1" s="1"/>
  <c r="F7" i="1" s="1"/>
  <c r="E7" i="1" s="1"/>
  <c r="E13" i="1" s="1"/>
  <c r="D16" i="16"/>
  <c r="M12" i="12" l="1"/>
  <c r="I12" i="12"/>
  <c r="E12" i="12"/>
  <c r="P12" i="12"/>
  <c r="C16" i="14"/>
  <c r="C6" i="14"/>
  <c r="P15" i="4"/>
  <c r="L12" i="12"/>
  <c r="H12" i="12"/>
  <c r="O12" i="12"/>
  <c r="K12" i="12"/>
  <c r="G12" i="12"/>
  <c r="N12" i="12"/>
  <c r="J12" i="12"/>
  <c r="F12" i="12"/>
  <c r="M15" i="3"/>
  <c r="I15" i="3"/>
  <c r="E15" i="3"/>
  <c r="O15" i="3"/>
  <c r="K15" i="3"/>
  <c r="G15" i="3"/>
  <c r="E22" i="12"/>
  <c r="L15" i="3"/>
  <c r="H15" i="3"/>
  <c r="N15" i="3"/>
  <c r="J15" i="3"/>
  <c r="F15" i="3"/>
  <c r="M13" i="1"/>
  <c r="H13" i="1"/>
  <c r="N7" i="12"/>
  <c r="J7" i="12"/>
  <c r="F7" i="12"/>
  <c r="L13" i="1"/>
  <c r="K13" i="1"/>
  <c r="M7" i="12"/>
  <c r="I7" i="12"/>
  <c r="E7" i="12"/>
  <c r="F13" i="1"/>
  <c r="O13" i="1"/>
  <c r="O22" i="12" s="1"/>
  <c r="G13" i="1"/>
  <c r="P13" i="1"/>
  <c r="P22" i="12" s="1"/>
  <c r="J13" i="1"/>
  <c r="J22" i="12" s="1"/>
  <c r="P7" i="12"/>
  <c r="L7" i="12"/>
  <c r="H7" i="12"/>
  <c r="N13" i="1"/>
  <c r="N22" i="12" s="1"/>
  <c r="I13" i="1"/>
  <c r="O7" i="12"/>
  <c r="K7" i="12"/>
  <c r="G7" i="12"/>
  <c r="D9" i="11"/>
  <c r="D11" i="18"/>
  <c r="D9" i="10"/>
  <c r="D10" i="8"/>
  <c r="D12" i="15"/>
  <c r="D12" i="16"/>
  <c r="D10" i="5"/>
  <c r="D12" i="2"/>
  <c r="D9" i="1"/>
  <c r="G22" i="12" l="1"/>
  <c r="I22" i="12"/>
  <c r="M22" i="12"/>
  <c r="F22" i="12"/>
  <c r="K22" i="12"/>
  <c r="L22" i="12"/>
  <c r="H22" i="12"/>
  <c r="S13" i="12" l="1"/>
  <c r="S16" i="12"/>
  <c r="S15" i="12" l="1"/>
  <c r="S14" i="12"/>
  <c r="S9" i="11"/>
  <c r="S10" i="8"/>
  <c r="S12" i="15"/>
  <c r="S12" i="16"/>
  <c r="S10" i="6"/>
  <c r="S10" i="5"/>
  <c r="S10" i="4"/>
  <c r="S12" i="2"/>
  <c r="R9" i="1"/>
  <c r="R13" i="1" l="1"/>
  <c r="S7" i="12"/>
  <c r="Q6" i="14" l="1"/>
  <c r="D6" i="14"/>
  <c r="Q15" i="14"/>
  <c r="Q14" i="14"/>
  <c r="Q13" i="14"/>
  <c r="S20" i="12" l="1"/>
  <c r="D20" i="12"/>
  <c r="S19" i="12"/>
  <c r="S11" i="12"/>
  <c r="S10" i="12"/>
  <c r="S9" i="12"/>
  <c r="S8" i="12"/>
  <c r="S6" i="12"/>
  <c r="D6" i="12"/>
  <c r="R18" i="18"/>
  <c r="D18" i="18"/>
  <c r="R11" i="18"/>
  <c r="E8" i="9"/>
  <c r="F8" i="9"/>
  <c r="G8" i="9"/>
  <c r="H8" i="9"/>
  <c r="I8" i="9"/>
  <c r="J8" i="9"/>
  <c r="K8" i="9"/>
  <c r="L8" i="9"/>
  <c r="M8" i="9"/>
  <c r="N8" i="9"/>
  <c r="O8" i="9"/>
  <c r="P8" i="9"/>
  <c r="Q8" i="9"/>
  <c r="D9" i="21"/>
  <c r="D7" i="21"/>
  <c r="R10" i="19"/>
  <c r="D9" i="19"/>
  <c r="D8" i="19"/>
  <c r="R10" i="17"/>
  <c r="D9" i="17"/>
  <c r="D8" i="17"/>
  <c r="D7" i="17"/>
  <c r="P19" i="14" l="1"/>
  <c r="Q19" i="14" s="1"/>
  <c r="D19" i="14"/>
  <c r="D10" i="21"/>
  <c r="D10" i="19"/>
  <c r="D10" i="17"/>
  <c r="R16" i="2"/>
  <c r="D13" i="11"/>
  <c r="R13" i="10"/>
  <c r="P20" i="14" s="1"/>
  <c r="Q20" i="14" s="1"/>
  <c r="D13" i="10"/>
  <c r="D18" i="15"/>
  <c r="R12" i="15"/>
  <c r="R18" i="15" s="1"/>
  <c r="D18" i="16"/>
  <c r="R12" i="16"/>
  <c r="R18" i="16" s="1"/>
  <c r="D17" i="16"/>
  <c r="D15" i="16"/>
  <c r="D14" i="16"/>
  <c r="D13" i="16"/>
  <c r="D11" i="16"/>
  <c r="D10" i="16"/>
  <c r="D9" i="16"/>
  <c r="D8" i="16"/>
  <c r="D17" i="15"/>
  <c r="D16" i="15"/>
  <c r="D15" i="15"/>
  <c r="D14" i="15"/>
  <c r="D13" i="15"/>
  <c r="D11" i="15"/>
  <c r="D10" i="15"/>
  <c r="D9" i="15"/>
  <c r="D8" i="15"/>
  <c r="D7" i="15"/>
  <c r="Q10" i="3"/>
  <c r="R10" i="4"/>
  <c r="R15" i="4" s="1"/>
  <c r="P9" i="14" s="1"/>
  <c r="Q9" i="14" s="1"/>
  <c r="D17" i="5"/>
  <c r="R10" i="5"/>
  <c r="P16" i="14" l="1"/>
  <c r="D22" i="14"/>
  <c r="R17" i="5"/>
  <c r="Q15" i="3"/>
  <c r="O18" i="14"/>
  <c r="N18" i="14"/>
  <c r="M18" i="14"/>
  <c r="L18" i="14"/>
  <c r="K18" i="14"/>
  <c r="J18" i="14"/>
  <c r="I18" i="14"/>
  <c r="H18" i="14"/>
  <c r="G18" i="14"/>
  <c r="F18" i="14"/>
  <c r="E18" i="14"/>
  <c r="D18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O9" i="14"/>
  <c r="N9" i="14"/>
  <c r="M9" i="14"/>
  <c r="L9" i="14"/>
  <c r="K9" i="14"/>
  <c r="J9" i="14"/>
  <c r="I9" i="14"/>
  <c r="H9" i="14"/>
  <c r="G9" i="14"/>
  <c r="F9" i="14"/>
  <c r="E9" i="14"/>
  <c r="D9" i="14"/>
  <c r="Q7" i="14" l="1"/>
  <c r="P22" i="14"/>
  <c r="Q22" i="14" s="1"/>
  <c r="P10" i="14"/>
  <c r="Q10" i="14" s="1"/>
  <c r="D8" i="14"/>
  <c r="P8" i="14"/>
  <c r="S18" i="12"/>
  <c r="Q8" i="14" l="1"/>
  <c r="R9" i="11"/>
  <c r="R13" i="11" s="1"/>
  <c r="P18" i="14" s="1"/>
  <c r="Q18" i="14" s="1"/>
  <c r="R10" i="8"/>
  <c r="R16" i="8" s="1"/>
  <c r="R10" i="6"/>
  <c r="P17" i="14" l="1"/>
  <c r="Q17" i="14"/>
  <c r="Q16" i="14"/>
  <c r="S12" i="12"/>
  <c r="R17" i="6"/>
  <c r="P12" i="14" s="1"/>
  <c r="D12" i="11"/>
  <c r="D11" i="11"/>
  <c r="D10" i="11"/>
  <c r="D8" i="11"/>
  <c r="D7" i="11"/>
  <c r="D12" i="10"/>
  <c r="D11" i="10"/>
  <c r="D10" i="10"/>
  <c r="D15" i="8"/>
  <c r="D14" i="8"/>
  <c r="D13" i="8"/>
  <c r="D12" i="8"/>
  <c r="D11" i="8"/>
  <c r="D9" i="8"/>
  <c r="D8" i="8"/>
  <c r="D7" i="8"/>
  <c r="D16" i="8" s="1"/>
  <c r="D19" i="12"/>
  <c r="D18" i="12"/>
  <c r="D16" i="5"/>
  <c r="D15" i="5"/>
  <c r="D14" i="5"/>
  <c r="D13" i="5"/>
  <c r="D12" i="5"/>
  <c r="D9" i="5"/>
  <c r="D16" i="12"/>
  <c r="D14" i="12"/>
  <c r="D12" i="12"/>
  <c r="D11" i="2"/>
  <c r="D10" i="2"/>
  <c r="D9" i="2"/>
  <c r="D9" i="12" s="1"/>
  <c r="D8" i="2"/>
  <c r="D8" i="12" s="1"/>
  <c r="D7" i="2"/>
  <c r="D16" i="2" l="1"/>
  <c r="S22" i="12"/>
  <c r="Q12" i="14"/>
  <c r="D15" i="12"/>
  <c r="D11" i="12"/>
  <c r="D13" i="12"/>
  <c r="D8" i="9"/>
  <c r="D8" i="1" l="1"/>
  <c r="D10" i="12" s="1"/>
  <c r="D7" i="12" l="1"/>
  <c r="D13" i="1"/>
  <c r="D22" i="12" s="1"/>
</calcChain>
</file>

<file path=xl/sharedStrings.xml><?xml version="1.0" encoding="utf-8"?>
<sst xmlns="http://schemas.openxmlformats.org/spreadsheetml/2006/main" count="647" uniqueCount="87">
  <si>
    <t>КФК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</si>
  <si>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</si>
  <si>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</si>
  <si>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</si>
  <si>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</si>
  <si>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</si>
  <si>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</si>
  <si>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</si>
  <si>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</si>
  <si>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</si>
  <si>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</si>
  <si>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</si>
  <si>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</si>
  <si>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</si>
  <si>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Школа екстернів</t>
  </si>
  <si>
    <t>Стипендії, Новорічні свята</t>
  </si>
  <si>
    <t>Технагляд</t>
  </si>
  <si>
    <t>Будинок вчителя</t>
  </si>
  <si>
    <t>Центр моніторингу</t>
  </si>
  <si>
    <t>Стипендія ДОНМС</t>
  </si>
  <si>
    <t xml:space="preserve"> Обсяг</t>
  </si>
  <si>
    <t>Спортивний ліцей-інтернат</t>
  </si>
  <si>
    <t>Палац дітей та юнацтва</t>
  </si>
  <si>
    <t>Міжнародний центр дитячо-юнацького туризму</t>
  </si>
  <si>
    <t>Мала академія наук</t>
  </si>
  <si>
    <t xml:space="preserve">Разом </t>
  </si>
  <si>
    <t>Професійно-технічні навчальні заклади</t>
  </si>
  <si>
    <t>тис. грн.</t>
  </si>
  <si>
    <t>Університет імені Б. Грінченка</t>
  </si>
  <si>
    <t>Центр підвищення кваліфікації</t>
  </si>
  <si>
    <t>Відділ по наданню методичної допомоги фінансово-господарської діяльності</t>
  </si>
  <si>
    <t>Відділи та програми Департаменту освіти і науки</t>
  </si>
  <si>
    <t>Назва</t>
  </si>
  <si>
    <t>Предмети, матеріали, обладнання та інвентар</t>
  </si>
  <si>
    <t>Оплата послуг (крім комунальних)</t>
  </si>
  <si>
    <t>Оплата комунальних послуг та енергоносіїв</t>
  </si>
  <si>
    <t>Використання товарів та послуг</t>
  </si>
  <si>
    <t>Медикаменти та перевязувальні матеріали</t>
  </si>
  <si>
    <t xml:space="preserve">Затверджено на рік </t>
  </si>
  <si>
    <t xml:space="preserve">Оплата теплопостачання </t>
  </si>
  <si>
    <t>Оплата водопостачання  та водовідведення</t>
  </si>
  <si>
    <t>Оплата електроенергії</t>
  </si>
  <si>
    <t>Оплата природного газу</t>
  </si>
  <si>
    <t>Продукти харчування</t>
  </si>
  <si>
    <t>Видатки на відрядження</t>
  </si>
  <si>
    <t>Окремі заходи по реалізації державних програм</t>
  </si>
  <si>
    <t xml:space="preserve">Інші виплати населенню </t>
  </si>
  <si>
    <t>Інші поточні видатки</t>
  </si>
  <si>
    <t>Стипендії</t>
  </si>
  <si>
    <t>Університет імені Б. Грінченка (Університети)</t>
  </si>
  <si>
    <t>Університет імені Б. Грінченка (Університетський коледж)</t>
  </si>
  <si>
    <t>Профінансовано</t>
  </si>
  <si>
    <t>Затверджені планові показники на 2014 рік</t>
  </si>
  <si>
    <t>Виконано %</t>
  </si>
  <si>
    <t>Назва установи</t>
  </si>
  <si>
    <t>Університет імені Б.Грінченка (Університетський коледж)</t>
  </si>
  <si>
    <t>Університет імені Б.Грінченка (Університети)</t>
  </si>
  <si>
    <t>Університет імені Б.Грінченка (Інститут післядипломної освіти)</t>
  </si>
  <si>
    <t>Загальноосвітній навчальний заклад "Школа екстернів"</t>
  </si>
  <si>
    <t>Загальноосвітній навчальний заклад "Київський спортивний ліцей-інтернат"</t>
  </si>
  <si>
    <t xml:space="preserve">Комунальний позашкільний навчальний заклад "Киїська Мала академія наук учнівської молоді" </t>
  </si>
  <si>
    <t>Київський університет імені Б.Грінченка</t>
  </si>
  <si>
    <t>КНЗ "Київський міський центр перепідготовки та підвищення кваліфікації працівників органів державної влади, органів місцевого самоврядування, державних підприємств, установ і організацій"</t>
  </si>
  <si>
    <t>Київський міський будинок вчителя</t>
  </si>
  <si>
    <t>КП "Центр науково-освітніх інновацій та моніторингу"</t>
  </si>
  <si>
    <t>Аналіз</t>
  </si>
  <si>
    <t>тис.грн.</t>
  </si>
  <si>
    <t>Київський Палац дітей та юнацтва</t>
  </si>
  <si>
    <t>Інші видатки та програми Департаменту освіти і науки, молоді та спорту</t>
  </si>
  <si>
    <t>2111+2120</t>
  </si>
  <si>
    <t>Оплата праці з нарахуваннями</t>
  </si>
  <si>
    <t>Субсидії та поточні трансфери</t>
  </si>
  <si>
    <t>Уточнений план на рік</t>
  </si>
  <si>
    <t>Уточненено на рік</t>
  </si>
  <si>
    <t>Уточнено на рік</t>
  </si>
  <si>
    <t>Будинок художньої та технічної творчості</t>
  </si>
  <si>
    <t>Київський державний будинок художньої та технічної творчості</t>
  </si>
  <si>
    <t>видатки загального фонду  за 9 міс 2016 рік</t>
  </si>
  <si>
    <t>АС "Школа" (інформаційно-аналітична система моніторингу осіти м. Києва для Дніпровського, Оболонського, Подільського, святошинського району)</t>
  </si>
  <si>
    <t>Уточнені планові показники на 2016 рік</t>
  </si>
  <si>
    <t xml:space="preserve">Виконано за ІV квартал 2016р. </t>
  </si>
  <si>
    <t>Субсидії та поточні трансферти підприємствам (установам, організаціям)</t>
  </si>
  <si>
    <t>про виконання видатків загального фонду установ освіти, які підпорядковані Департаменту освіти і науки, молоді та спорту за                                                                                                                                                           ІІІ квартал 2016 року</t>
  </si>
  <si>
    <t>виконання бюджету загального фонду установ освіти, які підпорядковані Департаменту освіти і науки, молоді та спорту                                                                                                                                   за ІІІ квартал 2016 року</t>
  </si>
  <si>
    <t>КП "Група впровадження проекту з енергозбереження"</t>
  </si>
  <si>
    <t xml:space="preserve">Виконано за                                                                                                ІІІ квартал  2016р. </t>
  </si>
  <si>
    <t xml:space="preserve">Окремі заходи по реалізації державних (регіональних) програм, не віднесені до заходів розвитку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</si>
</sst>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2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 indent="1"/>
    </xf>
    <xf numFmtId="164" fontId="3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/>
    <xf numFmtId="0" fontId="3" fillId="0" borderId="1" xfId="0" applyFont="1" applyBorder="1"/>
    <xf numFmtId="164" fontId="2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164" fontId="3" fillId="2" borderId="1" xfId="0" applyNumberFormat="1" applyFont="1" applyFill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164" fontId="3" fillId="0" borderId="4" xfId="0" applyNumberFormat="1" applyFont="1" applyBorder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/>
    <xf numFmtId="16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8"/>
  <sheetViews>
    <sheetView topLeftCell="A4" workbookViewId="0">
      <selection activeCell="Q13" sqref="Q13"/>
    </sheetView>
  </sheetViews>
  <sheetFormatPr defaultColWidth="9.109375" defaultRowHeight="18" x14ac:dyDescent="0.35"/>
  <cols>
    <col min="1" max="1" width="8.109375" style="1" customWidth="1"/>
    <col min="2" max="2" width="13.5546875" style="1" customWidth="1"/>
    <col min="3" max="3" width="32.6640625" style="1" customWidth="1"/>
    <col min="4" max="4" width="19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7.6640625" style="1" customWidth="1"/>
    <col min="18" max="18" width="19.6640625" style="1" customWidth="1"/>
    <col min="19" max="16384" width="9.109375" style="1"/>
  </cols>
  <sheetData>
    <row r="1" spans="1:18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ht="24" customHeight="1" x14ac:dyDescent="0.35">
      <c r="A3" s="101" t="s">
        <v>14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ht="16.5" customHeight="1" x14ac:dyDescent="0.35">
      <c r="D4" s="23"/>
      <c r="R4" s="23" t="s">
        <v>27</v>
      </c>
    </row>
    <row r="5" spans="1:18" ht="46.5" customHeight="1" x14ac:dyDescent="0.35">
      <c r="A5" s="3" t="s">
        <v>0</v>
      </c>
      <c r="B5" s="3" t="s">
        <v>1</v>
      </c>
      <c r="C5" s="3" t="s">
        <v>32</v>
      </c>
      <c r="D5" s="36" t="s">
        <v>38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6" t="s">
        <v>72</v>
      </c>
      <c r="R5" s="16" t="s">
        <v>51</v>
      </c>
    </row>
    <row r="6" spans="1:18" ht="43.5" customHeight="1" x14ac:dyDescent="0.35">
      <c r="A6" s="6">
        <v>70201</v>
      </c>
      <c r="B6" s="51" t="s">
        <v>69</v>
      </c>
      <c r="C6" s="52" t="s">
        <v>70</v>
      </c>
      <c r="D6" s="4">
        <v>1869.2</v>
      </c>
      <c r="E6" s="4">
        <v>1869.2</v>
      </c>
      <c r="F6" s="4">
        <v>1869.2</v>
      </c>
      <c r="G6" s="4">
        <v>1869.2</v>
      </c>
      <c r="H6" s="4">
        <v>1869.2</v>
      </c>
      <c r="I6" s="4">
        <v>1869.2</v>
      </c>
      <c r="J6" s="4">
        <v>1869.2</v>
      </c>
      <c r="K6" s="4">
        <v>1869.2</v>
      </c>
      <c r="L6" s="4">
        <v>1869.2</v>
      </c>
      <c r="M6" s="4">
        <v>1869.2</v>
      </c>
      <c r="N6" s="4">
        <v>1869.2</v>
      </c>
      <c r="O6" s="4">
        <v>1869.2</v>
      </c>
      <c r="P6" s="4">
        <v>1869.2</v>
      </c>
      <c r="Q6" s="4">
        <f>2050.9+451.2</f>
        <v>2502.1</v>
      </c>
      <c r="R6" s="4">
        <f>1359.817+299.2</f>
        <v>1659.0170000000001</v>
      </c>
    </row>
    <row r="7" spans="1:18" ht="39.75" customHeight="1" x14ac:dyDescent="0.35">
      <c r="A7" s="8"/>
      <c r="B7" s="3">
        <v>2210</v>
      </c>
      <c r="C7" s="24" t="s">
        <v>33</v>
      </c>
      <c r="D7" s="4">
        <v>0</v>
      </c>
      <c r="E7" s="4">
        <f t="shared" ref="E7" si="0">SUM(F7:Q7)</f>
        <v>84766.499999999985</v>
      </c>
      <c r="F7" s="4">
        <f t="shared" ref="F7" si="1">SUM(G7:R7)</f>
        <v>42393.599999999991</v>
      </c>
      <c r="G7" s="4">
        <f t="shared" ref="G7" si="2">SUM(H7:S7)</f>
        <v>21196.799999999999</v>
      </c>
      <c r="H7" s="4">
        <f t="shared" ref="H7" si="3">SUM(I7:T7)</f>
        <v>10598.4</v>
      </c>
      <c r="I7" s="4">
        <f t="shared" ref="I7" si="4">SUM(J7:U7)</f>
        <v>5299.1999999999989</v>
      </c>
      <c r="J7" s="4">
        <f t="shared" ref="J7" si="5">SUM(K7:V7)</f>
        <v>2649.5999999999995</v>
      </c>
      <c r="K7" s="4">
        <f t="shared" ref="K7" si="6">SUM(L7:W7)</f>
        <v>1324.8</v>
      </c>
      <c r="L7" s="4">
        <f t="shared" ref="L7" si="7">SUM(M7:X7)</f>
        <v>662.4</v>
      </c>
      <c r="M7" s="4">
        <f t="shared" ref="M7" si="8">SUM(N7:Y7)</f>
        <v>331.19999999999993</v>
      </c>
      <c r="N7" s="4">
        <f t="shared" ref="N7" si="9">SUM(O7:Z7)</f>
        <v>165.59999999999997</v>
      </c>
      <c r="O7" s="4">
        <f t="shared" ref="O7" si="10">SUM(P7:AA7)</f>
        <v>82.8</v>
      </c>
      <c r="P7" s="4">
        <f t="shared" ref="P7" si="11">SUM(Q7:AB7)</f>
        <v>41.4</v>
      </c>
      <c r="Q7" s="4">
        <v>20.7</v>
      </c>
      <c r="R7" s="4">
        <v>20.7</v>
      </c>
    </row>
    <row r="8" spans="1:18" ht="35.25" customHeight="1" x14ac:dyDescent="0.35">
      <c r="A8" s="8"/>
      <c r="B8" s="3">
        <v>2240</v>
      </c>
      <c r="C8" s="24" t="s">
        <v>34</v>
      </c>
      <c r="D8" s="4">
        <f t="shared" ref="D8" si="12">SUM(E8:P8)</f>
        <v>76.7</v>
      </c>
      <c r="E8" s="7"/>
      <c r="F8" s="7">
        <v>0.7</v>
      </c>
      <c r="G8" s="7">
        <v>1</v>
      </c>
      <c r="H8" s="7">
        <v>20</v>
      </c>
      <c r="I8" s="7">
        <v>13.7</v>
      </c>
      <c r="J8" s="7">
        <v>4.7</v>
      </c>
      <c r="K8" s="7">
        <v>7.6</v>
      </c>
      <c r="L8" s="7">
        <v>15</v>
      </c>
      <c r="M8" s="7">
        <v>4</v>
      </c>
      <c r="N8" s="7">
        <v>4</v>
      </c>
      <c r="O8" s="7">
        <v>2</v>
      </c>
      <c r="P8" s="7">
        <v>4</v>
      </c>
      <c r="Q8" s="4">
        <v>153.30000000000001</v>
      </c>
      <c r="R8" s="4">
        <v>137.19999999999999</v>
      </c>
    </row>
    <row r="9" spans="1:18" ht="33.75" customHeight="1" x14ac:dyDescent="0.35">
      <c r="A9" s="8"/>
      <c r="B9" s="57">
        <v>2270</v>
      </c>
      <c r="C9" s="61" t="s">
        <v>35</v>
      </c>
      <c r="D9" s="58">
        <f>D10+D11+D12</f>
        <v>88.6</v>
      </c>
      <c r="E9" s="58">
        <f t="shared" ref="E9:Q9" si="13">E10+E11+E12</f>
        <v>14.7</v>
      </c>
      <c r="F9" s="58">
        <f t="shared" si="13"/>
        <v>141</v>
      </c>
      <c r="G9" s="58">
        <f t="shared" si="13"/>
        <v>105.49999999999999</v>
      </c>
      <c r="H9" s="58">
        <f t="shared" si="13"/>
        <v>74.7</v>
      </c>
      <c r="I9" s="58">
        <f t="shared" si="13"/>
        <v>66.599999999999994</v>
      </c>
      <c r="J9" s="58">
        <f t="shared" si="13"/>
        <v>44.7</v>
      </c>
      <c r="K9" s="58">
        <f t="shared" si="13"/>
        <v>16.7</v>
      </c>
      <c r="L9" s="58">
        <f t="shared" si="13"/>
        <v>16.7</v>
      </c>
      <c r="M9" s="58">
        <f t="shared" si="13"/>
        <v>16.7</v>
      </c>
      <c r="N9" s="58">
        <f t="shared" si="13"/>
        <v>29.700000000000003</v>
      </c>
      <c r="O9" s="58">
        <f t="shared" si="13"/>
        <v>24.7</v>
      </c>
      <c r="P9" s="58">
        <f t="shared" si="13"/>
        <v>24.7</v>
      </c>
      <c r="Q9" s="58">
        <f t="shared" si="13"/>
        <v>213.5</v>
      </c>
      <c r="R9" s="58">
        <f>R10+R11+R12</f>
        <v>122.81200000000001</v>
      </c>
    </row>
    <row r="10" spans="1:18" x14ac:dyDescent="0.35">
      <c r="A10" s="8"/>
      <c r="B10" s="3">
        <v>2271</v>
      </c>
      <c r="C10" s="26" t="s">
        <v>39</v>
      </c>
      <c r="D10" s="4">
        <v>73.900000000000006</v>
      </c>
      <c r="E10" s="16">
        <v>0</v>
      </c>
      <c r="F10" s="16">
        <v>126.3</v>
      </c>
      <c r="G10" s="7">
        <v>90.8</v>
      </c>
      <c r="H10" s="7">
        <v>60</v>
      </c>
      <c r="I10" s="7">
        <v>51.9</v>
      </c>
      <c r="J10" s="7">
        <v>30</v>
      </c>
      <c r="K10" s="7">
        <v>2</v>
      </c>
      <c r="L10" s="7">
        <v>2</v>
      </c>
      <c r="M10" s="7">
        <v>2</v>
      </c>
      <c r="N10" s="7">
        <v>15</v>
      </c>
      <c r="O10" s="7">
        <v>10</v>
      </c>
      <c r="P10" s="7">
        <v>10</v>
      </c>
      <c r="Q10" s="4">
        <v>185</v>
      </c>
      <c r="R10" s="4">
        <v>107.7</v>
      </c>
    </row>
    <row r="11" spans="1:18" ht="33.75" customHeight="1" x14ac:dyDescent="0.35">
      <c r="A11" s="8"/>
      <c r="B11" s="3">
        <v>2272</v>
      </c>
      <c r="C11" s="25" t="s">
        <v>40</v>
      </c>
      <c r="D11" s="4">
        <v>1.1000000000000001</v>
      </c>
      <c r="E11" s="4">
        <v>1.1000000000000001</v>
      </c>
      <c r="F11" s="4">
        <v>1.1000000000000001</v>
      </c>
      <c r="G11" s="4">
        <v>1.1000000000000001</v>
      </c>
      <c r="H11" s="4">
        <v>1.1000000000000001</v>
      </c>
      <c r="I11" s="4">
        <v>1.1000000000000001</v>
      </c>
      <c r="J11" s="4">
        <v>1.1000000000000001</v>
      </c>
      <c r="K11" s="4">
        <v>1.1000000000000001</v>
      </c>
      <c r="L11" s="4">
        <v>1.1000000000000001</v>
      </c>
      <c r="M11" s="4">
        <v>1.1000000000000001</v>
      </c>
      <c r="N11" s="4">
        <v>1.1000000000000001</v>
      </c>
      <c r="O11" s="4">
        <v>1.1000000000000001</v>
      </c>
      <c r="P11" s="4">
        <v>1.1000000000000001</v>
      </c>
      <c r="Q11" s="4">
        <v>3.5</v>
      </c>
      <c r="R11" s="4">
        <v>2.0419999999999998</v>
      </c>
    </row>
    <row r="12" spans="1:18" ht="19.5" customHeight="1" x14ac:dyDescent="0.35">
      <c r="A12" s="8"/>
      <c r="B12" s="3">
        <v>2273</v>
      </c>
      <c r="C12" s="26" t="s">
        <v>41</v>
      </c>
      <c r="D12" s="4">
        <v>13.6</v>
      </c>
      <c r="E12" s="4">
        <v>13.6</v>
      </c>
      <c r="F12" s="4">
        <v>13.6</v>
      </c>
      <c r="G12" s="4">
        <v>13.6</v>
      </c>
      <c r="H12" s="4">
        <v>13.6</v>
      </c>
      <c r="I12" s="4">
        <v>13.6</v>
      </c>
      <c r="J12" s="4">
        <v>13.6</v>
      </c>
      <c r="K12" s="4">
        <v>13.6</v>
      </c>
      <c r="L12" s="4">
        <v>13.6</v>
      </c>
      <c r="M12" s="4">
        <v>13.6</v>
      </c>
      <c r="N12" s="4">
        <v>13.6</v>
      </c>
      <c r="O12" s="4">
        <v>13.6</v>
      </c>
      <c r="P12" s="4">
        <v>13.6</v>
      </c>
      <c r="Q12" s="4">
        <v>25</v>
      </c>
      <c r="R12" s="4">
        <v>13.07</v>
      </c>
    </row>
    <row r="13" spans="1:18" x14ac:dyDescent="0.35">
      <c r="A13" s="8"/>
      <c r="B13" s="12"/>
      <c r="C13" s="12"/>
      <c r="D13" s="9">
        <f>D6+D7+D8+D9</f>
        <v>2034.5</v>
      </c>
      <c r="E13" s="9">
        <f t="shared" ref="E13:Q13" si="14">E6+E7+E8+E9</f>
        <v>86650.39999999998</v>
      </c>
      <c r="F13" s="9">
        <f t="shared" si="14"/>
        <v>44404.499999999985</v>
      </c>
      <c r="G13" s="9">
        <f t="shared" si="14"/>
        <v>23172.5</v>
      </c>
      <c r="H13" s="9">
        <f t="shared" si="14"/>
        <v>12562.300000000001</v>
      </c>
      <c r="I13" s="9">
        <f t="shared" si="14"/>
        <v>7248.6999999999989</v>
      </c>
      <c r="J13" s="9">
        <f t="shared" si="14"/>
        <v>4568.1999999999989</v>
      </c>
      <c r="K13" s="9">
        <f t="shared" si="14"/>
        <v>3218.2999999999997</v>
      </c>
      <c r="L13" s="9">
        <f t="shared" si="14"/>
        <v>2563.2999999999997</v>
      </c>
      <c r="M13" s="9">
        <f t="shared" si="14"/>
        <v>2221.1</v>
      </c>
      <c r="N13" s="9">
        <f t="shared" si="14"/>
        <v>2068.5</v>
      </c>
      <c r="O13" s="9">
        <f t="shared" si="14"/>
        <v>1978.7</v>
      </c>
      <c r="P13" s="9">
        <f t="shared" si="14"/>
        <v>1939.3000000000002</v>
      </c>
      <c r="Q13" s="81">
        <f t="shared" si="14"/>
        <v>2889.6</v>
      </c>
      <c r="R13" s="81">
        <f>R6+R7+R8+R9</f>
        <v>1939.7290000000003</v>
      </c>
    </row>
    <row r="14" spans="1:18" x14ac:dyDescent="0.35">
      <c r="B14" s="22"/>
      <c r="C14" s="22"/>
      <c r="D14" s="22"/>
    </row>
    <row r="15" spans="1:18" x14ac:dyDescent="0.35">
      <c r="B15" s="22"/>
      <c r="C15" s="22"/>
      <c r="D15" s="22"/>
    </row>
    <row r="16" spans="1:18" x14ac:dyDescent="0.35">
      <c r="B16" s="22"/>
      <c r="C16" s="22"/>
      <c r="D16" s="22"/>
    </row>
    <row r="17" spans="2:4" x14ac:dyDescent="0.35">
      <c r="B17" s="22"/>
      <c r="C17" s="22"/>
      <c r="D17" s="22"/>
    </row>
    <row r="18" spans="2:4" x14ac:dyDescent="0.35">
      <c r="B18" s="22"/>
      <c r="C18" s="22"/>
    </row>
  </sheetData>
  <mergeCells count="3">
    <mergeCell ref="A1:R1"/>
    <mergeCell ref="A2:R2"/>
    <mergeCell ref="A3:R3"/>
  </mergeCells>
  <pageMargins left="1.1023622047244095" right="0.31496062992125984" top="0.78740157480314965" bottom="0" header="0.31496062992125984" footer="0.31496062992125984"/>
  <pageSetup paperSize="9" scale="90" fitToHeight="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5"/>
  <sheetViews>
    <sheetView zoomScaleNormal="100" workbookViewId="0">
      <selection activeCell="T14" sqref="T14"/>
    </sheetView>
  </sheetViews>
  <sheetFormatPr defaultColWidth="9.109375" defaultRowHeight="18" x14ac:dyDescent="0.35"/>
  <cols>
    <col min="1" max="1" width="8.6640625" style="1" customWidth="1"/>
    <col min="2" max="2" width="14.109375" style="1" customWidth="1"/>
    <col min="3" max="3" width="30.44140625" style="1" customWidth="1"/>
    <col min="4" max="4" width="16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7" style="76" customWidth="1"/>
    <col min="18" max="18" width="20.109375" style="1" customWidth="1"/>
    <col min="19" max="19" width="9.6640625" style="1" bestFit="1" customWidth="1"/>
    <col min="20" max="16384" width="9.109375" style="1"/>
  </cols>
  <sheetData>
    <row r="1" spans="1:19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9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9" x14ac:dyDescent="0.35">
      <c r="A3" s="101" t="s">
        <v>28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9" x14ac:dyDescent="0.35">
      <c r="A4" s="47"/>
      <c r="B4" s="47"/>
      <c r="C4" s="47"/>
      <c r="D4" s="23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74"/>
      <c r="R4" s="23" t="s">
        <v>27</v>
      </c>
    </row>
    <row r="5" spans="1:19" ht="34.799999999999997" x14ac:dyDescent="0.35">
      <c r="A5" s="8"/>
      <c r="B5" s="103" t="s">
        <v>49</v>
      </c>
      <c r="C5" s="104"/>
      <c r="D5" s="10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39" t="s">
        <v>74</v>
      </c>
      <c r="R5" s="7" t="s">
        <v>51</v>
      </c>
    </row>
    <row r="6" spans="1:19" ht="36" x14ac:dyDescent="0.35">
      <c r="A6" s="6">
        <v>70602</v>
      </c>
      <c r="B6" s="51" t="s">
        <v>69</v>
      </c>
      <c r="C6" s="52" t="s">
        <v>70</v>
      </c>
      <c r="D6" s="4">
        <v>65880.800000000003</v>
      </c>
      <c r="E6" s="7">
        <v>3670</v>
      </c>
      <c r="F6" s="7">
        <v>4000</v>
      </c>
      <c r="G6" s="7">
        <v>3600</v>
      </c>
      <c r="H6" s="7">
        <v>3800</v>
      </c>
      <c r="I6" s="7">
        <v>3600</v>
      </c>
      <c r="J6" s="7">
        <v>9100</v>
      </c>
      <c r="K6" s="7">
        <v>2300</v>
      </c>
      <c r="L6" s="7">
        <v>1865.1</v>
      </c>
      <c r="M6" s="7">
        <v>4000</v>
      </c>
      <c r="N6" s="7">
        <v>3900</v>
      </c>
      <c r="O6" s="7">
        <v>4000</v>
      </c>
      <c r="P6" s="7">
        <v>4500</v>
      </c>
      <c r="Q6" s="4">
        <f>69380.9+15263.8</f>
        <v>84644.7</v>
      </c>
      <c r="R6" s="4">
        <f>50020.1+11004.4</f>
        <v>61024.5</v>
      </c>
    </row>
    <row r="7" spans="1:19" ht="36" x14ac:dyDescent="0.35">
      <c r="A7" s="8"/>
      <c r="B7" s="3">
        <v>2210</v>
      </c>
      <c r="C7" s="24" t="s">
        <v>33</v>
      </c>
      <c r="D7" s="4">
        <f t="shared" ref="D7:D17" si="0">SUM(E7:P7)</f>
        <v>102.30000000000001</v>
      </c>
      <c r="E7" s="7">
        <v>7</v>
      </c>
      <c r="F7" s="7">
        <v>30</v>
      </c>
      <c r="G7" s="7">
        <v>2.6</v>
      </c>
      <c r="H7" s="7">
        <v>2</v>
      </c>
      <c r="I7" s="7">
        <v>2</v>
      </c>
      <c r="J7" s="7">
        <v>10</v>
      </c>
      <c r="K7" s="7">
        <v>4.7</v>
      </c>
      <c r="L7" s="7">
        <v>5</v>
      </c>
      <c r="M7" s="7">
        <v>30</v>
      </c>
      <c r="N7" s="7">
        <v>3</v>
      </c>
      <c r="O7" s="7">
        <v>3</v>
      </c>
      <c r="P7" s="7">
        <v>3</v>
      </c>
      <c r="Q7" s="4">
        <v>1098.3</v>
      </c>
      <c r="R7" s="4">
        <v>1092.3</v>
      </c>
    </row>
    <row r="8" spans="1:19" ht="36" x14ac:dyDescent="0.35">
      <c r="A8" s="8"/>
      <c r="B8" s="3">
        <v>2220</v>
      </c>
      <c r="C8" s="24" t="s">
        <v>37</v>
      </c>
      <c r="D8" s="4">
        <f t="shared" si="0"/>
        <v>41.6</v>
      </c>
      <c r="E8" s="7"/>
      <c r="F8" s="7"/>
      <c r="G8" s="7"/>
      <c r="H8" s="7">
        <v>21.6</v>
      </c>
      <c r="I8" s="7"/>
      <c r="J8" s="7"/>
      <c r="K8" s="7"/>
      <c r="L8" s="7">
        <v>20</v>
      </c>
      <c r="M8" s="7"/>
      <c r="N8" s="7"/>
      <c r="O8" s="7"/>
      <c r="P8" s="7"/>
      <c r="Q8" s="4">
        <v>5</v>
      </c>
      <c r="R8" s="4">
        <v>0</v>
      </c>
    </row>
    <row r="9" spans="1:19" x14ac:dyDescent="0.35">
      <c r="A9" s="8"/>
      <c r="B9" s="3">
        <v>2230</v>
      </c>
      <c r="C9" s="24" t="s">
        <v>43</v>
      </c>
      <c r="D9" s="4">
        <f t="shared" si="0"/>
        <v>1169</v>
      </c>
      <c r="E9" s="7">
        <v>337</v>
      </c>
      <c r="F9" s="7">
        <v>260</v>
      </c>
      <c r="G9" s="7">
        <v>130</v>
      </c>
      <c r="H9" s="7">
        <v>120</v>
      </c>
      <c r="I9" s="7">
        <v>120</v>
      </c>
      <c r="J9" s="7">
        <v>102</v>
      </c>
      <c r="K9" s="7">
        <v>100</v>
      </c>
      <c r="L9" s="7"/>
      <c r="M9" s="7"/>
      <c r="N9" s="7"/>
      <c r="O9" s="7"/>
      <c r="P9" s="7"/>
      <c r="Q9" s="4">
        <v>2456.6</v>
      </c>
      <c r="R9" s="4">
        <v>1630.3</v>
      </c>
    </row>
    <row r="10" spans="1:19" ht="36" x14ac:dyDescent="0.35">
      <c r="A10" s="8"/>
      <c r="B10" s="3">
        <v>2240</v>
      </c>
      <c r="C10" s="24" t="s">
        <v>34</v>
      </c>
      <c r="D10" s="4">
        <f t="shared" si="0"/>
        <v>314.89999999999998</v>
      </c>
      <c r="E10" s="7">
        <v>5</v>
      </c>
      <c r="F10" s="7">
        <v>20</v>
      </c>
      <c r="G10" s="7">
        <v>199.9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4">
        <v>1130</v>
      </c>
      <c r="R10" s="4">
        <v>1130</v>
      </c>
    </row>
    <row r="11" spans="1:19" x14ac:dyDescent="0.35">
      <c r="A11" s="8"/>
      <c r="B11" s="3">
        <v>2250</v>
      </c>
      <c r="C11" s="25" t="s">
        <v>44</v>
      </c>
      <c r="D11" s="4">
        <f t="shared" si="0"/>
        <v>100</v>
      </c>
      <c r="E11" s="7"/>
      <c r="F11" s="7"/>
      <c r="G11" s="7"/>
      <c r="H11" s="7">
        <v>60</v>
      </c>
      <c r="I11" s="7">
        <v>40</v>
      </c>
      <c r="J11" s="7"/>
      <c r="K11" s="7"/>
      <c r="L11" s="7"/>
      <c r="M11" s="7"/>
      <c r="N11" s="7"/>
      <c r="O11" s="7"/>
      <c r="P11" s="7"/>
      <c r="Q11" s="4">
        <v>22</v>
      </c>
      <c r="R11" s="4">
        <v>22</v>
      </c>
    </row>
    <row r="12" spans="1:19" ht="36" x14ac:dyDescent="0.35">
      <c r="A12" s="8"/>
      <c r="B12" s="57">
        <v>2270</v>
      </c>
      <c r="C12" s="61" t="s">
        <v>35</v>
      </c>
      <c r="D12" s="58">
        <f>D13+D14+D15</f>
        <v>3899</v>
      </c>
      <c r="E12" s="58">
        <f t="shared" ref="E12:Q12" si="1">E13+E14+E15</f>
        <v>234.7</v>
      </c>
      <c r="F12" s="58">
        <f t="shared" si="1"/>
        <v>1189.3999999999999</v>
      </c>
      <c r="G12" s="58">
        <f t="shared" si="1"/>
        <v>961</v>
      </c>
      <c r="H12" s="58">
        <f t="shared" si="1"/>
        <v>437.3</v>
      </c>
      <c r="I12" s="58">
        <f t="shared" si="1"/>
        <v>110</v>
      </c>
      <c r="J12" s="58">
        <f t="shared" si="1"/>
        <v>110</v>
      </c>
      <c r="K12" s="58">
        <f t="shared" si="1"/>
        <v>95</v>
      </c>
      <c r="L12" s="58">
        <f t="shared" si="1"/>
        <v>95</v>
      </c>
      <c r="M12" s="58">
        <f t="shared" si="1"/>
        <v>122</v>
      </c>
      <c r="N12" s="58">
        <f t="shared" si="1"/>
        <v>300.60000000000002</v>
      </c>
      <c r="O12" s="58">
        <f t="shared" si="1"/>
        <v>122</v>
      </c>
      <c r="P12" s="58">
        <f t="shared" si="1"/>
        <v>122</v>
      </c>
      <c r="Q12" s="58">
        <f t="shared" si="1"/>
        <v>8630.9</v>
      </c>
      <c r="R12" s="58">
        <f t="shared" ref="R12" si="2">R13+R14+R15</f>
        <v>4236.3623000000007</v>
      </c>
      <c r="S12" s="5">
        <f>R13+R14+R15</f>
        <v>4236.3623000000007</v>
      </c>
    </row>
    <row r="13" spans="1:19" x14ac:dyDescent="0.35">
      <c r="A13" s="8"/>
      <c r="B13" s="3">
        <v>2271</v>
      </c>
      <c r="C13" s="26" t="s">
        <v>39</v>
      </c>
      <c r="D13" s="4">
        <f t="shared" ref="D13:D15" si="3">SUM(E13:P13)</f>
        <v>2371.1</v>
      </c>
      <c r="E13" s="7">
        <v>92.9</v>
      </c>
      <c r="F13" s="7">
        <v>1021.7</v>
      </c>
      <c r="G13" s="7">
        <v>777.9</v>
      </c>
      <c r="H13" s="7">
        <v>300</v>
      </c>
      <c r="I13" s="7"/>
      <c r="J13" s="7"/>
      <c r="K13" s="7"/>
      <c r="L13" s="7"/>
      <c r="M13" s="7"/>
      <c r="N13" s="7">
        <v>178.6</v>
      </c>
      <c r="O13" s="7"/>
      <c r="P13" s="7"/>
      <c r="Q13" s="4">
        <v>5000</v>
      </c>
      <c r="R13" s="4">
        <v>2940.1480000000001</v>
      </c>
    </row>
    <row r="14" spans="1:19" ht="36" x14ac:dyDescent="0.35">
      <c r="A14" s="8"/>
      <c r="B14" s="3">
        <v>2272</v>
      </c>
      <c r="C14" s="25" t="s">
        <v>40</v>
      </c>
      <c r="D14" s="4">
        <f t="shared" si="3"/>
        <v>127.9</v>
      </c>
      <c r="E14" s="7">
        <v>10.1</v>
      </c>
      <c r="F14" s="7">
        <v>14.1</v>
      </c>
      <c r="G14" s="7">
        <v>14.7</v>
      </c>
      <c r="H14" s="7">
        <v>11</v>
      </c>
      <c r="I14" s="7">
        <v>10</v>
      </c>
      <c r="J14" s="7">
        <v>10</v>
      </c>
      <c r="K14" s="7">
        <v>5</v>
      </c>
      <c r="L14" s="7">
        <v>5</v>
      </c>
      <c r="M14" s="7">
        <v>12</v>
      </c>
      <c r="N14" s="7">
        <v>12</v>
      </c>
      <c r="O14" s="7">
        <v>12</v>
      </c>
      <c r="P14" s="7">
        <v>12</v>
      </c>
      <c r="Q14" s="4">
        <v>300</v>
      </c>
      <c r="R14" s="4">
        <v>90.853300000000004</v>
      </c>
    </row>
    <row r="15" spans="1:19" x14ac:dyDescent="0.35">
      <c r="A15" s="8"/>
      <c r="B15" s="3">
        <v>2273</v>
      </c>
      <c r="C15" s="26" t="s">
        <v>41</v>
      </c>
      <c r="D15" s="4">
        <f t="shared" si="3"/>
        <v>1400</v>
      </c>
      <c r="E15" s="7">
        <v>131.69999999999999</v>
      </c>
      <c r="F15" s="7">
        <v>153.6</v>
      </c>
      <c r="G15" s="7">
        <v>168.4</v>
      </c>
      <c r="H15" s="7">
        <v>126.3</v>
      </c>
      <c r="I15" s="7">
        <v>100</v>
      </c>
      <c r="J15" s="7">
        <v>100</v>
      </c>
      <c r="K15" s="7">
        <v>90</v>
      </c>
      <c r="L15" s="7">
        <v>90</v>
      </c>
      <c r="M15" s="7">
        <v>110</v>
      </c>
      <c r="N15" s="7">
        <v>110</v>
      </c>
      <c r="O15" s="7">
        <v>110</v>
      </c>
      <c r="P15" s="7">
        <v>110</v>
      </c>
      <c r="Q15" s="4">
        <v>3330.9</v>
      </c>
      <c r="R15" s="4">
        <v>1205.3610000000001</v>
      </c>
    </row>
    <row r="16" spans="1:19" x14ac:dyDescent="0.35">
      <c r="A16" s="8"/>
      <c r="B16" s="3">
        <v>2720</v>
      </c>
      <c r="C16" s="26" t="s">
        <v>48</v>
      </c>
      <c r="D16" s="4">
        <f t="shared" si="0"/>
        <v>21704.400000000001</v>
      </c>
      <c r="E16" s="7">
        <v>1761.9</v>
      </c>
      <c r="F16" s="7">
        <v>4300.8</v>
      </c>
      <c r="G16" s="7">
        <v>1800</v>
      </c>
      <c r="H16" s="7">
        <v>1800</v>
      </c>
      <c r="I16" s="7">
        <v>1740</v>
      </c>
      <c r="J16" s="7">
        <v>1750</v>
      </c>
      <c r="K16" s="7"/>
      <c r="L16" s="7">
        <v>551.70000000000005</v>
      </c>
      <c r="M16" s="7">
        <v>2000</v>
      </c>
      <c r="N16" s="7">
        <v>2000</v>
      </c>
      <c r="O16" s="7">
        <v>2000</v>
      </c>
      <c r="P16" s="7">
        <v>2000</v>
      </c>
      <c r="Q16" s="4">
        <v>24830.2</v>
      </c>
      <c r="R16" s="4">
        <v>18852.126</v>
      </c>
    </row>
    <row r="17" spans="1:19" x14ac:dyDescent="0.35">
      <c r="A17" s="8"/>
      <c r="B17" s="3">
        <v>2730</v>
      </c>
      <c r="C17" s="26" t="s">
        <v>46</v>
      </c>
      <c r="D17" s="4">
        <f t="shared" si="0"/>
        <v>4434.8999999999996</v>
      </c>
      <c r="E17" s="7"/>
      <c r="F17" s="7"/>
      <c r="G17" s="7"/>
      <c r="H17" s="7"/>
      <c r="I17" s="7"/>
      <c r="J17" s="7"/>
      <c r="K17" s="7"/>
      <c r="L17" s="7"/>
      <c r="M17" s="7">
        <v>4434.8999999999996</v>
      </c>
      <c r="N17" s="7"/>
      <c r="O17" s="7"/>
      <c r="P17" s="7"/>
      <c r="Q17" s="4">
        <v>4395.3</v>
      </c>
      <c r="R17" s="4">
        <v>39.164999999999999</v>
      </c>
    </row>
    <row r="18" spans="1:19" x14ac:dyDescent="0.35">
      <c r="A18" s="8"/>
      <c r="B18" s="12"/>
      <c r="C18" s="12"/>
      <c r="D18" s="9">
        <f>D6+D7+D8+D9+D10+D11+D12+D16+D17</f>
        <v>97646.9</v>
      </c>
      <c r="E18" s="9">
        <f t="shared" ref="E18:Q18" si="4">E6+E7+E8+E9+E10+E11+E12+E16+E17</f>
        <v>6015.6</v>
      </c>
      <c r="F18" s="9">
        <f t="shared" si="4"/>
        <v>9800.2000000000007</v>
      </c>
      <c r="G18" s="9">
        <f t="shared" si="4"/>
        <v>6693.5</v>
      </c>
      <c r="H18" s="9">
        <f t="shared" si="4"/>
        <v>6250.9</v>
      </c>
      <c r="I18" s="9">
        <f t="shared" si="4"/>
        <v>5622</v>
      </c>
      <c r="J18" s="9">
        <f t="shared" si="4"/>
        <v>11082</v>
      </c>
      <c r="K18" s="9">
        <f t="shared" si="4"/>
        <v>2509.6999999999998</v>
      </c>
      <c r="L18" s="9">
        <f t="shared" si="4"/>
        <v>2546.8000000000002</v>
      </c>
      <c r="M18" s="9">
        <f t="shared" si="4"/>
        <v>10596.9</v>
      </c>
      <c r="N18" s="9">
        <f t="shared" si="4"/>
        <v>6213.6</v>
      </c>
      <c r="O18" s="9">
        <f t="shared" si="4"/>
        <v>6135</v>
      </c>
      <c r="P18" s="9">
        <f t="shared" si="4"/>
        <v>6635</v>
      </c>
      <c r="Q18" s="9">
        <f t="shared" si="4"/>
        <v>127213</v>
      </c>
      <c r="R18" s="81">
        <f>R6+R7+R8+R9+R10+R11+R12+R16+R17</f>
        <v>88026.753300000011</v>
      </c>
      <c r="S18" s="5"/>
    </row>
    <row r="19" spans="1:19" x14ac:dyDescent="0.35">
      <c r="B19" s="48"/>
      <c r="C19" s="48"/>
      <c r="D19" s="48"/>
    </row>
    <row r="20" spans="1:19" x14ac:dyDescent="0.35">
      <c r="B20" s="48"/>
      <c r="C20" s="48"/>
      <c r="D20" s="48"/>
    </row>
    <row r="21" spans="1:19" x14ac:dyDescent="0.35">
      <c r="B21" s="48"/>
      <c r="C21" s="48"/>
      <c r="D21" s="48"/>
    </row>
    <row r="22" spans="1:19" x14ac:dyDescent="0.35">
      <c r="B22" s="48"/>
      <c r="C22" s="29"/>
      <c r="D22" s="48"/>
    </row>
    <row r="23" spans="1:19" x14ac:dyDescent="0.35">
      <c r="B23" s="48"/>
      <c r="C23" s="48"/>
      <c r="D23" s="48"/>
    </row>
    <row r="24" spans="1:19" x14ac:dyDescent="0.35">
      <c r="B24" s="48"/>
      <c r="C24" s="48"/>
      <c r="D24" s="48"/>
    </row>
    <row r="25" spans="1:19" x14ac:dyDescent="0.35">
      <c r="B25" s="48"/>
      <c r="C25" s="48"/>
      <c r="D25" s="48"/>
    </row>
    <row r="26" spans="1:19" x14ac:dyDescent="0.35">
      <c r="B26" s="48"/>
      <c r="C26" s="48"/>
      <c r="D26" s="48"/>
    </row>
    <row r="27" spans="1:19" x14ac:dyDescent="0.35">
      <c r="B27" s="48"/>
      <c r="C27" s="48"/>
      <c r="D27" s="48"/>
    </row>
    <row r="28" spans="1:19" x14ac:dyDescent="0.35">
      <c r="B28" s="48"/>
      <c r="C28" s="48"/>
      <c r="D28" s="48"/>
    </row>
    <row r="29" spans="1:19" x14ac:dyDescent="0.35">
      <c r="B29" s="48"/>
      <c r="C29" s="48"/>
      <c r="D29" s="48"/>
    </row>
    <row r="30" spans="1:19" x14ac:dyDescent="0.35">
      <c r="B30" s="48"/>
      <c r="C30" s="48"/>
      <c r="D30" s="48"/>
    </row>
    <row r="31" spans="1:19" x14ac:dyDescent="0.35">
      <c r="B31" s="48"/>
      <c r="C31" s="48"/>
      <c r="D31" s="48"/>
    </row>
    <row r="32" spans="1:19" x14ac:dyDescent="0.35">
      <c r="B32" s="48"/>
      <c r="C32" s="48"/>
      <c r="D32" s="48"/>
    </row>
    <row r="33" spans="2:4" x14ac:dyDescent="0.35">
      <c r="B33" s="48"/>
      <c r="C33" s="48"/>
      <c r="D33" s="48"/>
    </row>
    <row r="34" spans="2:4" x14ac:dyDescent="0.35">
      <c r="B34" s="48"/>
      <c r="C34" s="48"/>
      <c r="D34" s="48"/>
    </row>
    <row r="35" spans="2:4" x14ac:dyDescent="0.35">
      <c r="B35" s="48"/>
      <c r="C35" s="48"/>
    </row>
  </sheetData>
  <mergeCells count="4">
    <mergeCell ref="A1:R1"/>
    <mergeCell ref="A2:R2"/>
    <mergeCell ref="A3:R3"/>
    <mergeCell ref="B5:D5"/>
  </mergeCells>
  <pageMargins left="0.9055118110236221" right="0.70866141732283472" top="0.74803149606299213" bottom="0.74803149606299213" header="0.31496062992125984" footer="0.31496062992125984"/>
  <pageSetup paperSize="9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4"/>
  <sheetViews>
    <sheetView zoomScaleNormal="100" workbookViewId="0">
      <selection activeCell="C14" sqref="C14"/>
    </sheetView>
  </sheetViews>
  <sheetFormatPr defaultColWidth="9.109375" defaultRowHeight="18" x14ac:dyDescent="0.35"/>
  <cols>
    <col min="1" max="1" width="8.33203125" style="1" customWidth="1"/>
    <col min="2" max="2" width="14.6640625" style="1" customWidth="1"/>
    <col min="3" max="3" width="29.44140625" style="1" customWidth="1"/>
    <col min="4" max="4" width="0.109375" style="2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6.5546875" style="1" customWidth="1"/>
    <col min="18" max="18" width="20.5546875" style="1" customWidth="1"/>
    <col min="19" max="16384" width="9.109375" style="1"/>
  </cols>
  <sheetData>
    <row r="1" spans="1:19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9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9" x14ac:dyDescent="0.35">
      <c r="A3" s="101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9" x14ac:dyDescent="0.35">
      <c r="D4" s="23"/>
      <c r="R4" s="23" t="s">
        <v>27</v>
      </c>
    </row>
    <row r="5" spans="1:19" ht="35.25" customHeight="1" x14ac:dyDescent="0.35">
      <c r="A5" s="3" t="s">
        <v>0</v>
      </c>
      <c r="B5" s="3" t="s">
        <v>1</v>
      </c>
      <c r="C5" s="3" t="s">
        <v>32</v>
      </c>
      <c r="D5" s="31" t="s">
        <v>38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13</v>
      </c>
      <c r="Q5" s="31" t="s">
        <v>74</v>
      </c>
      <c r="R5" s="18" t="s">
        <v>51</v>
      </c>
    </row>
    <row r="6" spans="1:19" ht="36" x14ac:dyDescent="0.35">
      <c r="A6" s="8">
        <v>70701</v>
      </c>
      <c r="B6" s="51" t="s">
        <v>69</v>
      </c>
      <c r="C6" s="52" t="s">
        <v>70</v>
      </c>
      <c r="D6" s="4">
        <v>1633.7</v>
      </c>
      <c r="E6" s="4">
        <v>1633.7</v>
      </c>
      <c r="F6" s="4">
        <v>1633.7</v>
      </c>
      <c r="G6" s="4">
        <v>1633.7</v>
      </c>
      <c r="H6" s="4">
        <v>1633.7</v>
      </c>
      <c r="I6" s="4">
        <v>1633.7</v>
      </c>
      <c r="J6" s="4">
        <v>1633.7</v>
      </c>
      <c r="K6" s="4">
        <v>1633.7</v>
      </c>
      <c r="L6" s="4">
        <v>1633.7</v>
      </c>
      <c r="M6" s="4">
        <v>1633.7</v>
      </c>
      <c r="N6" s="4">
        <v>1633.7</v>
      </c>
      <c r="O6" s="4">
        <v>1633.7</v>
      </c>
      <c r="P6" s="4">
        <v>1633.7</v>
      </c>
      <c r="Q6" s="4">
        <f>9991.2+2197.3</f>
        <v>12188.5</v>
      </c>
      <c r="R6" s="4">
        <f>7133.8+1568.3</f>
        <v>8702.1</v>
      </c>
    </row>
    <row r="7" spans="1:19" ht="36.75" customHeight="1" x14ac:dyDescent="0.35">
      <c r="A7" s="8"/>
      <c r="B7" s="3">
        <v>2210</v>
      </c>
      <c r="C7" s="24" t="s">
        <v>33</v>
      </c>
      <c r="D7" s="4">
        <f t="shared" ref="D7:D9" si="0">SUM(E7:P7)</f>
        <v>25.000000000000004</v>
      </c>
      <c r="E7" s="7"/>
      <c r="F7" s="7">
        <v>3.4</v>
      </c>
      <c r="G7" s="7">
        <v>3.4</v>
      </c>
      <c r="H7" s="7">
        <v>3</v>
      </c>
      <c r="I7" s="7">
        <v>3</v>
      </c>
      <c r="J7" s="7">
        <v>6</v>
      </c>
      <c r="K7" s="7"/>
      <c r="L7" s="7"/>
      <c r="M7" s="7">
        <v>2</v>
      </c>
      <c r="N7" s="7">
        <v>2.6</v>
      </c>
      <c r="O7" s="7">
        <v>1.6</v>
      </c>
      <c r="P7" s="7"/>
      <c r="Q7" s="4">
        <v>202.1</v>
      </c>
      <c r="R7" s="4">
        <v>202.1</v>
      </c>
    </row>
    <row r="8" spans="1:19" ht="36" x14ac:dyDescent="0.35">
      <c r="A8" s="8"/>
      <c r="B8" s="3">
        <v>2240</v>
      </c>
      <c r="C8" s="24" t="s">
        <v>34</v>
      </c>
      <c r="D8" s="4">
        <f t="shared" si="0"/>
        <v>168.5</v>
      </c>
      <c r="E8" s="7"/>
      <c r="F8" s="7">
        <v>9.8000000000000007</v>
      </c>
      <c r="G8" s="7">
        <v>9.8000000000000007</v>
      </c>
      <c r="H8" s="7">
        <v>41.3</v>
      </c>
      <c r="I8" s="7">
        <v>12</v>
      </c>
      <c r="J8" s="7">
        <v>17.600000000000001</v>
      </c>
      <c r="K8" s="7">
        <v>18</v>
      </c>
      <c r="L8" s="7">
        <v>12</v>
      </c>
      <c r="M8" s="7">
        <v>12</v>
      </c>
      <c r="N8" s="7">
        <v>12</v>
      </c>
      <c r="O8" s="7">
        <v>12</v>
      </c>
      <c r="P8" s="7">
        <v>12</v>
      </c>
      <c r="Q8" s="4">
        <v>9</v>
      </c>
      <c r="R8" s="4">
        <v>9</v>
      </c>
    </row>
    <row r="9" spans="1:19" x14ac:dyDescent="0.35">
      <c r="A9" s="8"/>
      <c r="B9" s="3">
        <v>2250</v>
      </c>
      <c r="C9" s="25" t="s">
        <v>44</v>
      </c>
      <c r="D9" s="4">
        <f t="shared" si="0"/>
        <v>3</v>
      </c>
      <c r="E9" s="7"/>
      <c r="F9" s="7"/>
      <c r="G9" s="7"/>
      <c r="H9" s="7">
        <v>3</v>
      </c>
      <c r="I9" s="7"/>
      <c r="J9" s="7"/>
      <c r="K9" s="7"/>
      <c r="L9" s="7"/>
      <c r="M9" s="7"/>
      <c r="N9" s="7"/>
      <c r="O9" s="7"/>
      <c r="P9" s="7"/>
      <c r="Q9" s="4">
        <v>5</v>
      </c>
      <c r="R9" s="4">
        <v>5</v>
      </c>
    </row>
    <row r="10" spans="1:19" ht="36" x14ac:dyDescent="0.35">
      <c r="A10" s="8"/>
      <c r="B10" s="57">
        <v>2270</v>
      </c>
      <c r="C10" s="61" t="s">
        <v>35</v>
      </c>
      <c r="D10" s="58">
        <f>SUM(D11:D13)</f>
        <v>79.5</v>
      </c>
      <c r="E10" s="58">
        <f t="shared" ref="E10:Q10" si="1">SUM(E11:E13)</f>
        <v>5.1999999999999993</v>
      </c>
      <c r="F10" s="58">
        <f t="shared" si="1"/>
        <v>8.6999999999999993</v>
      </c>
      <c r="G10" s="58">
        <f t="shared" si="1"/>
        <v>10</v>
      </c>
      <c r="H10" s="58">
        <f t="shared" si="1"/>
        <v>12.6</v>
      </c>
      <c r="I10" s="58">
        <f t="shared" si="1"/>
        <v>2.6</v>
      </c>
      <c r="J10" s="58">
        <f t="shared" si="1"/>
        <v>2.7</v>
      </c>
      <c r="K10" s="58">
        <f t="shared" si="1"/>
        <v>2.6</v>
      </c>
      <c r="L10" s="58">
        <f t="shared" si="1"/>
        <v>2.6</v>
      </c>
      <c r="M10" s="58">
        <f t="shared" si="1"/>
        <v>2.7</v>
      </c>
      <c r="N10" s="58">
        <f t="shared" si="1"/>
        <v>2.6</v>
      </c>
      <c r="O10" s="58">
        <f t="shared" si="1"/>
        <v>10.6</v>
      </c>
      <c r="P10" s="58">
        <f t="shared" si="1"/>
        <v>16.600000000000001</v>
      </c>
      <c r="Q10" s="58">
        <f t="shared" si="1"/>
        <v>955</v>
      </c>
      <c r="R10" s="58">
        <f>R11+R12+R13</f>
        <v>471.15699999999998</v>
      </c>
      <c r="S10" s="5">
        <f>R11+R12+R13</f>
        <v>471.15699999999998</v>
      </c>
    </row>
    <row r="11" spans="1:19" x14ac:dyDescent="0.35">
      <c r="A11" s="8"/>
      <c r="B11" s="3">
        <v>2271</v>
      </c>
      <c r="C11" s="26" t="s">
        <v>39</v>
      </c>
      <c r="D11" s="4">
        <f t="shared" ref="D11:D15" si="2">SUM(E11:P11)</f>
        <v>45.3</v>
      </c>
      <c r="E11" s="7">
        <v>2.8</v>
      </c>
      <c r="F11" s="7">
        <v>4.4000000000000004</v>
      </c>
      <c r="G11" s="7">
        <v>6.3</v>
      </c>
      <c r="H11" s="7">
        <v>10</v>
      </c>
      <c r="I11" s="7"/>
      <c r="J11" s="7"/>
      <c r="K11" s="7"/>
      <c r="L11" s="7"/>
      <c r="M11" s="7"/>
      <c r="N11" s="7"/>
      <c r="O11" s="7">
        <v>8</v>
      </c>
      <c r="P11" s="7">
        <v>13.8</v>
      </c>
      <c r="Q11" s="4">
        <v>750</v>
      </c>
      <c r="R11" s="4">
        <v>370.14</v>
      </c>
    </row>
    <row r="12" spans="1:19" ht="36" x14ac:dyDescent="0.35">
      <c r="A12" s="8"/>
      <c r="B12" s="3">
        <v>2272</v>
      </c>
      <c r="C12" s="25" t="s">
        <v>40</v>
      </c>
      <c r="D12" s="4">
        <f t="shared" si="2"/>
        <v>0.5</v>
      </c>
      <c r="E12" s="7">
        <v>0.1</v>
      </c>
      <c r="F12" s="7">
        <v>0.1</v>
      </c>
      <c r="G12" s="7">
        <v>0.1</v>
      </c>
      <c r="H12" s="7"/>
      <c r="I12" s="7"/>
      <c r="J12" s="7">
        <v>0.1</v>
      </c>
      <c r="K12" s="7"/>
      <c r="L12" s="7"/>
      <c r="M12" s="7">
        <v>0.1</v>
      </c>
      <c r="N12" s="7"/>
      <c r="O12" s="7"/>
      <c r="P12" s="7"/>
      <c r="Q12" s="4">
        <v>33</v>
      </c>
      <c r="R12" s="4">
        <v>9.0890000000000004</v>
      </c>
    </row>
    <row r="13" spans="1:19" x14ac:dyDescent="0.35">
      <c r="A13" s="8"/>
      <c r="B13" s="3">
        <v>2273</v>
      </c>
      <c r="C13" s="26" t="s">
        <v>41</v>
      </c>
      <c r="D13" s="4">
        <f t="shared" si="2"/>
        <v>33.700000000000003</v>
      </c>
      <c r="E13" s="7">
        <v>2.2999999999999998</v>
      </c>
      <c r="F13" s="7">
        <v>4.2</v>
      </c>
      <c r="G13" s="7">
        <v>3.6</v>
      </c>
      <c r="H13" s="7">
        <v>2.6</v>
      </c>
      <c r="I13" s="7">
        <v>2.6</v>
      </c>
      <c r="J13" s="7">
        <v>2.6</v>
      </c>
      <c r="K13" s="7">
        <v>2.6</v>
      </c>
      <c r="L13" s="7">
        <v>2.6</v>
      </c>
      <c r="M13" s="7">
        <v>2.6</v>
      </c>
      <c r="N13" s="7">
        <v>2.6</v>
      </c>
      <c r="O13" s="7">
        <v>2.6</v>
      </c>
      <c r="P13" s="7">
        <v>2.8</v>
      </c>
      <c r="Q13" s="4">
        <v>172</v>
      </c>
      <c r="R13" s="4">
        <v>91.927999999999997</v>
      </c>
    </row>
    <row r="14" spans="1:19" ht="90" x14ac:dyDescent="0.35">
      <c r="A14" s="8"/>
      <c r="B14" s="3">
        <v>2282</v>
      </c>
      <c r="C14" s="25" t="s">
        <v>86</v>
      </c>
      <c r="D14" s="4">
        <f t="shared" si="2"/>
        <v>93.4</v>
      </c>
      <c r="E14" s="7"/>
      <c r="F14" s="7"/>
      <c r="G14" s="7"/>
      <c r="H14" s="7"/>
      <c r="I14" s="7">
        <v>40</v>
      </c>
      <c r="J14" s="7">
        <v>53.4</v>
      </c>
      <c r="K14" s="7"/>
      <c r="L14" s="7"/>
      <c r="M14" s="7"/>
      <c r="N14" s="7"/>
      <c r="O14" s="7"/>
      <c r="P14" s="7"/>
      <c r="Q14" s="4">
        <v>80</v>
      </c>
      <c r="R14" s="4">
        <v>80</v>
      </c>
    </row>
    <row r="15" spans="1:19" x14ac:dyDescent="0.35">
      <c r="A15" s="8"/>
      <c r="B15" s="3">
        <v>2730</v>
      </c>
      <c r="C15" s="26" t="s">
        <v>46</v>
      </c>
      <c r="D15" s="4">
        <f t="shared" si="2"/>
        <v>72</v>
      </c>
      <c r="E15" s="7"/>
      <c r="F15" s="7"/>
      <c r="G15" s="7"/>
      <c r="H15" s="7"/>
      <c r="I15" s="7"/>
      <c r="J15" s="7">
        <v>72</v>
      </c>
      <c r="K15" s="7"/>
      <c r="L15" s="7"/>
      <c r="M15" s="7"/>
      <c r="N15" s="7"/>
      <c r="O15" s="7"/>
      <c r="P15" s="7"/>
      <c r="Q15" s="4">
        <v>0</v>
      </c>
      <c r="R15" s="4">
        <v>0</v>
      </c>
    </row>
    <row r="16" spans="1:19" x14ac:dyDescent="0.35">
      <c r="A16" s="8"/>
      <c r="B16" s="12"/>
      <c r="C16" s="12"/>
      <c r="D16" s="9">
        <f>D6+D7+D8+D9+D10+D14+D15</f>
        <v>2075.1000000000004</v>
      </c>
      <c r="E16" s="9">
        <f t="shared" ref="E16:R16" si="3">E6+E7+E8+E9+E10+E14+E15</f>
        <v>1638.9</v>
      </c>
      <c r="F16" s="9">
        <f t="shared" si="3"/>
        <v>1655.6000000000001</v>
      </c>
      <c r="G16" s="9">
        <f t="shared" si="3"/>
        <v>1656.9</v>
      </c>
      <c r="H16" s="9">
        <f t="shared" si="3"/>
        <v>1693.6</v>
      </c>
      <c r="I16" s="9">
        <f t="shared" si="3"/>
        <v>1691.3</v>
      </c>
      <c r="J16" s="9">
        <f t="shared" si="3"/>
        <v>1785.4</v>
      </c>
      <c r="K16" s="9">
        <f t="shared" si="3"/>
        <v>1654.3</v>
      </c>
      <c r="L16" s="9">
        <f t="shared" si="3"/>
        <v>1648.3</v>
      </c>
      <c r="M16" s="9">
        <f t="shared" si="3"/>
        <v>1650.4</v>
      </c>
      <c r="N16" s="9">
        <f t="shared" si="3"/>
        <v>1650.8999999999999</v>
      </c>
      <c r="O16" s="9">
        <f t="shared" si="3"/>
        <v>1657.8999999999999</v>
      </c>
      <c r="P16" s="9">
        <f t="shared" si="3"/>
        <v>1662.3</v>
      </c>
      <c r="Q16" s="9">
        <f t="shared" si="3"/>
        <v>13439.6</v>
      </c>
      <c r="R16" s="9">
        <f t="shared" si="3"/>
        <v>9469.357</v>
      </c>
    </row>
    <row r="17" spans="2:17" x14ac:dyDescent="0.35">
      <c r="B17" s="99"/>
      <c r="C17" s="99"/>
      <c r="D17" s="99"/>
      <c r="Q17" s="99"/>
    </row>
    <row r="18" spans="2:17" x14ac:dyDescent="0.35">
      <c r="B18" s="99"/>
      <c r="C18" s="99"/>
      <c r="D18" s="99"/>
    </row>
    <row r="19" spans="2:17" x14ac:dyDescent="0.35">
      <c r="B19" s="99"/>
      <c r="C19" s="99"/>
      <c r="D19" s="99"/>
    </row>
    <row r="20" spans="2:17" x14ac:dyDescent="0.35">
      <c r="B20" s="99"/>
      <c r="C20" s="99"/>
      <c r="D20" s="99"/>
    </row>
    <row r="21" spans="2:17" x14ac:dyDescent="0.35">
      <c r="B21" s="99"/>
      <c r="C21" s="99"/>
      <c r="D21" s="99"/>
    </row>
    <row r="22" spans="2:17" x14ac:dyDescent="0.35">
      <c r="B22" s="99"/>
      <c r="C22" s="99"/>
      <c r="D22" s="99"/>
    </row>
    <row r="23" spans="2:17" x14ac:dyDescent="0.35">
      <c r="B23" s="99"/>
      <c r="C23" s="99"/>
      <c r="D23" s="99"/>
    </row>
    <row r="24" spans="2:17" x14ac:dyDescent="0.35">
      <c r="B24" s="99"/>
      <c r="C24" s="99"/>
    </row>
  </sheetData>
  <mergeCells count="3">
    <mergeCell ref="A1:R1"/>
    <mergeCell ref="A2:R2"/>
    <mergeCell ref="A3:R3"/>
  </mergeCells>
  <pageMargins left="0.9055118110236221" right="0.70866141732283472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4"/>
  <sheetViews>
    <sheetView zoomScaleNormal="100" workbookViewId="0">
      <selection activeCell="C14" sqref="C14"/>
    </sheetView>
  </sheetViews>
  <sheetFormatPr defaultColWidth="9.109375" defaultRowHeight="18" x14ac:dyDescent="0.35"/>
  <cols>
    <col min="1" max="1" width="8.33203125" style="1" customWidth="1"/>
    <col min="2" max="2" width="14.6640625" style="1" customWidth="1"/>
    <col min="3" max="3" width="29.44140625" style="1" customWidth="1"/>
    <col min="4" max="4" width="0.109375" style="2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6.5546875" style="1" customWidth="1"/>
    <col min="18" max="18" width="20.5546875" style="1" customWidth="1"/>
    <col min="19" max="16384" width="9.109375" style="1"/>
  </cols>
  <sheetData>
    <row r="1" spans="1:19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9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9" x14ac:dyDescent="0.35">
      <c r="A3" s="101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9" x14ac:dyDescent="0.35">
      <c r="D4" s="23"/>
      <c r="R4" s="23" t="s">
        <v>27</v>
      </c>
    </row>
    <row r="5" spans="1:19" ht="35.25" customHeight="1" x14ac:dyDescent="0.35">
      <c r="A5" s="3" t="s">
        <v>0</v>
      </c>
      <c r="B5" s="3" t="s">
        <v>1</v>
      </c>
      <c r="C5" s="3" t="s">
        <v>32</v>
      </c>
      <c r="D5" s="31" t="s">
        <v>38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13</v>
      </c>
      <c r="Q5" s="31" t="s">
        <v>74</v>
      </c>
      <c r="R5" s="18" t="s">
        <v>51</v>
      </c>
    </row>
    <row r="6" spans="1:19" ht="36" x14ac:dyDescent="0.35">
      <c r="A6" s="8">
        <v>70701</v>
      </c>
      <c r="B6" s="51" t="s">
        <v>69</v>
      </c>
      <c r="C6" s="52" t="s">
        <v>70</v>
      </c>
      <c r="D6" s="4">
        <v>1633.7</v>
      </c>
      <c r="E6" s="4">
        <v>1633.7</v>
      </c>
      <c r="F6" s="4">
        <v>1633.7</v>
      </c>
      <c r="G6" s="4">
        <v>1633.7</v>
      </c>
      <c r="H6" s="4">
        <v>1633.7</v>
      </c>
      <c r="I6" s="4">
        <v>1633.7</v>
      </c>
      <c r="J6" s="4">
        <v>1633.7</v>
      </c>
      <c r="K6" s="4">
        <v>1633.7</v>
      </c>
      <c r="L6" s="4">
        <v>1633.7</v>
      </c>
      <c r="M6" s="4">
        <v>1633.7</v>
      </c>
      <c r="N6" s="4">
        <v>1633.7</v>
      </c>
      <c r="O6" s="4">
        <v>1633.7</v>
      </c>
      <c r="P6" s="4">
        <v>1633.7</v>
      </c>
      <c r="Q6" s="4">
        <f>1385.5+305.6</f>
        <v>1691.1</v>
      </c>
      <c r="R6" s="4">
        <f>934.2+208.1</f>
        <v>1142.3</v>
      </c>
    </row>
    <row r="7" spans="1:19" ht="36.75" customHeight="1" x14ac:dyDescent="0.35">
      <c r="A7" s="8"/>
      <c r="B7" s="3">
        <v>2210</v>
      </c>
      <c r="C7" s="24" t="s">
        <v>33</v>
      </c>
      <c r="D7" s="4">
        <f t="shared" ref="D7:D9" si="0">SUM(E7:P7)</f>
        <v>25.000000000000004</v>
      </c>
      <c r="E7" s="7"/>
      <c r="F7" s="7">
        <v>3.4</v>
      </c>
      <c r="G7" s="7">
        <v>3.4</v>
      </c>
      <c r="H7" s="7">
        <v>3</v>
      </c>
      <c r="I7" s="7">
        <v>3</v>
      </c>
      <c r="J7" s="7">
        <v>6</v>
      </c>
      <c r="K7" s="7"/>
      <c r="L7" s="7"/>
      <c r="M7" s="7">
        <v>2</v>
      </c>
      <c r="N7" s="7">
        <v>2.6</v>
      </c>
      <c r="O7" s="7">
        <v>1.6</v>
      </c>
      <c r="P7" s="7"/>
      <c r="Q7" s="4">
        <v>71</v>
      </c>
      <c r="R7" s="4">
        <v>53.5</v>
      </c>
    </row>
    <row r="8" spans="1:19" ht="36" x14ac:dyDescent="0.35">
      <c r="A8" s="8"/>
      <c r="B8" s="3">
        <v>2240</v>
      </c>
      <c r="C8" s="24" t="s">
        <v>34</v>
      </c>
      <c r="D8" s="4">
        <f t="shared" si="0"/>
        <v>168.5</v>
      </c>
      <c r="E8" s="7"/>
      <c r="F8" s="7">
        <v>9.8000000000000007</v>
      </c>
      <c r="G8" s="7">
        <v>9.8000000000000007</v>
      </c>
      <c r="H8" s="7">
        <v>41.3</v>
      </c>
      <c r="I8" s="7">
        <v>12</v>
      </c>
      <c r="J8" s="7">
        <v>17.600000000000001</v>
      </c>
      <c r="K8" s="7">
        <v>18</v>
      </c>
      <c r="L8" s="7">
        <v>12</v>
      </c>
      <c r="M8" s="7">
        <v>12</v>
      </c>
      <c r="N8" s="7">
        <v>12</v>
      </c>
      <c r="O8" s="7">
        <v>12</v>
      </c>
      <c r="P8" s="7">
        <v>12</v>
      </c>
      <c r="Q8" s="4">
        <v>359</v>
      </c>
      <c r="R8" s="4">
        <v>282.60000000000002</v>
      </c>
    </row>
    <row r="9" spans="1:19" x14ac:dyDescent="0.35">
      <c r="A9" s="8"/>
      <c r="B9" s="3">
        <v>2250</v>
      </c>
      <c r="C9" s="25" t="s">
        <v>44</v>
      </c>
      <c r="D9" s="4">
        <f t="shared" si="0"/>
        <v>3</v>
      </c>
      <c r="E9" s="7"/>
      <c r="F9" s="7"/>
      <c r="G9" s="7"/>
      <c r="H9" s="7">
        <v>3</v>
      </c>
      <c r="I9" s="7"/>
      <c r="J9" s="7"/>
      <c r="K9" s="7"/>
      <c r="L9" s="7"/>
      <c r="M9" s="7"/>
      <c r="N9" s="7"/>
      <c r="O9" s="7"/>
      <c r="P9" s="7"/>
      <c r="Q9" s="4">
        <v>3.4</v>
      </c>
      <c r="R9" s="4">
        <v>2</v>
      </c>
    </row>
    <row r="10" spans="1:19" ht="36" x14ac:dyDescent="0.35">
      <c r="A10" s="8"/>
      <c r="B10" s="57">
        <v>2270</v>
      </c>
      <c r="C10" s="61" t="s">
        <v>35</v>
      </c>
      <c r="D10" s="58">
        <f>SUM(D11:D13)</f>
        <v>79.5</v>
      </c>
      <c r="E10" s="58">
        <f t="shared" ref="E10:Q10" si="1">SUM(E11:E13)</f>
        <v>5.1999999999999993</v>
      </c>
      <c r="F10" s="58">
        <f t="shared" si="1"/>
        <v>8.6999999999999993</v>
      </c>
      <c r="G10" s="58">
        <f t="shared" si="1"/>
        <v>10</v>
      </c>
      <c r="H10" s="58">
        <f t="shared" si="1"/>
        <v>12.6</v>
      </c>
      <c r="I10" s="58">
        <f t="shared" si="1"/>
        <v>2.6</v>
      </c>
      <c r="J10" s="58">
        <f t="shared" si="1"/>
        <v>2.7</v>
      </c>
      <c r="K10" s="58">
        <f t="shared" si="1"/>
        <v>2.6</v>
      </c>
      <c r="L10" s="58">
        <f t="shared" si="1"/>
        <v>2.6</v>
      </c>
      <c r="M10" s="58">
        <f t="shared" si="1"/>
        <v>2.7</v>
      </c>
      <c r="N10" s="58">
        <f t="shared" si="1"/>
        <v>2.6</v>
      </c>
      <c r="O10" s="58">
        <f t="shared" si="1"/>
        <v>10.6</v>
      </c>
      <c r="P10" s="58">
        <f t="shared" si="1"/>
        <v>16.600000000000001</v>
      </c>
      <c r="Q10" s="58">
        <f t="shared" si="1"/>
        <v>160</v>
      </c>
      <c r="R10" s="58">
        <f>R11+R12+R13</f>
        <v>57.305999999999997</v>
      </c>
      <c r="S10" s="5">
        <f>R11+R12+R13</f>
        <v>57.305999999999997</v>
      </c>
    </row>
    <row r="11" spans="1:19" x14ac:dyDescent="0.35">
      <c r="A11" s="8"/>
      <c r="B11" s="3">
        <v>2271</v>
      </c>
      <c r="C11" s="26" t="s">
        <v>39</v>
      </c>
      <c r="D11" s="4">
        <f t="shared" ref="D11:D15" si="2">SUM(E11:P11)</f>
        <v>45.3</v>
      </c>
      <c r="E11" s="7">
        <v>2.8</v>
      </c>
      <c r="F11" s="7">
        <v>4.4000000000000004</v>
      </c>
      <c r="G11" s="7">
        <v>6.3</v>
      </c>
      <c r="H11" s="7">
        <v>10</v>
      </c>
      <c r="I11" s="7"/>
      <c r="J11" s="7"/>
      <c r="K11" s="7"/>
      <c r="L11" s="7"/>
      <c r="M11" s="7"/>
      <c r="N11" s="7"/>
      <c r="O11" s="7">
        <v>8</v>
      </c>
      <c r="P11" s="7">
        <v>13.8</v>
      </c>
      <c r="Q11" s="4">
        <v>104.5</v>
      </c>
      <c r="R11" s="4">
        <v>28.952999999999999</v>
      </c>
    </row>
    <row r="12" spans="1:19" ht="36" x14ac:dyDescent="0.35">
      <c r="A12" s="8"/>
      <c r="B12" s="3">
        <v>2272</v>
      </c>
      <c r="C12" s="25" t="s">
        <v>40</v>
      </c>
      <c r="D12" s="4">
        <f t="shared" si="2"/>
        <v>0.5</v>
      </c>
      <c r="E12" s="7">
        <v>0.1</v>
      </c>
      <c r="F12" s="7">
        <v>0.1</v>
      </c>
      <c r="G12" s="7">
        <v>0.1</v>
      </c>
      <c r="H12" s="7"/>
      <c r="I12" s="7"/>
      <c r="J12" s="7">
        <v>0.1</v>
      </c>
      <c r="K12" s="7"/>
      <c r="L12" s="7"/>
      <c r="M12" s="7">
        <v>0.1</v>
      </c>
      <c r="N12" s="7"/>
      <c r="O12" s="7"/>
      <c r="P12" s="7"/>
      <c r="Q12" s="4">
        <v>2.5</v>
      </c>
      <c r="R12" s="4">
        <v>0.66100000000000003</v>
      </c>
    </row>
    <row r="13" spans="1:19" x14ac:dyDescent="0.35">
      <c r="A13" s="8"/>
      <c r="B13" s="3">
        <v>2273</v>
      </c>
      <c r="C13" s="26" t="s">
        <v>41</v>
      </c>
      <c r="D13" s="4">
        <f t="shared" si="2"/>
        <v>33.700000000000003</v>
      </c>
      <c r="E13" s="7">
        <v>2.2999999999999998</v>
      </c>
      <c r="F13" s="7">
        <v>4.2</v>
      </c>
      <c r="G13" s="7">
        <v>3.6</v>
      </c>
      <c r="H13" s="7">
        <v>2.6</v>
      </c>
      <c r="I13" s="7">
        <v>2.6</v>
      </c>
      <c r="J13" s="7">
        <v>2.6</v>
      </c>
      <c r="K13" s="7">
        <v>2.6</v>
      </c>
      <c r="L13" s="7">
        <v>2.6</v>
      </c>
      <c r="M13" s="7">
        <v>2.6</v>
      </c>
      <c r="N13" s="7">
        <v>2.6</v>
      </c>
      <c r="O13" s="7">
        <v>2.6</v>
      </c>
      <c r="P13" s="7">
        <v>2.8</v>
      </c>
      <c r="Q13" s="4">
        <v>53</v>
      </c>
      <c r="R13" s="4">
        <v>27.692</v>
      </c>
    </row>
    <row r="14" spans="1:19" ht="90" x14ac:dyDescent="0.35">
      <c r="A14" s="8"/>
      <c r="B14" s="3">
        <v>2282</v>
      </c>
      <c r="C14" s="25" t="s">
        <v>86</v>
      </c>
      <c r="D14" s="4">
        <f t="shared" si="2"/>
        <v>93.4</v>
      </c>
      <c r="E14" s="7"/>
      <c r="F14" s="7"/>
      <c r="G14" s="7"/>
      <c r="H14" s="7"/>
      <c r="I14" s="7">
        <v>40</v>
      </c>
      <c r="J14" s="7">
        <v>53.4</v>
      </c>
      <c r="K14" s="7"/>
      <c r="L14" s="7"/>
      <c r="M14" s="7"/>
      <c r="N14" s="7"/>
      <c r="O14" s="7"/>
      <c r="P14" s="7"/>
      <c r="Q14" s="4">
        <v>99.5</v>
      </c>
      <c r="R14" s="4">
        <v>99.5</v>
      </c>
    </row>
    <row r="15" spans="1:19" x14ac:dyDescent="0.35">
      <c r="A15" s="8"/>
      <c r="B15" s="3">
        <v>2730</v>
      </c>
      <c r="C15" s="26" t="s">
        <v>46</v>
      </c>
      <c r="D15" s="4">
        <f t="shared" si="2"/>
        <v>72</v>
      </c>
      <c r="E15" s="7"/>
      <c r="F15" s="7"/>
      <c r="G15" s="7"/>
      <c r="H15" s="7"/>
      <c r="I15" s="7"/>
      <c r="J15" s="7">
        <v>72</v>
      </c>
      <c r="K15" s="7"/>
      <c r="L15" s="7"/>
      <c r="M15" s="7"/>
      <c r="N15" s="7"/>
      <c r="O15" s="7"/>
      <c r="P15" s="7"/>
      <c r="Q15" s="4">
        <v>72</v>
      </c>
      <c r="R15" s="4">
        <v>36</v>
      </c>
    </row>
    <row r="16" spans="1:19" x14ac:dyDescent="0.35">
      <c r="A16" s="8"/>
      <c r="B16" s="12"/>
      <c r="C16" s="12"/>
      <c r="D16" s="9">
        <f>D6+D7+D8+D9+D10+D14+D15</f>
        <v>2075.1000000000004</v>
      </c>
      <c r="E16" s="9">
        <f t="shared" ref="E16:Q16" si="3">E6+E7+E8+E9+E10+E14+E15</f>
        <v>1638.9</v>
      </c>
      <c r="F16" s="9">
        <f t="shared" si="3"/>
        <v>1655.6000000000001</v>
      </c>
      <c r="G16" s="9">
        <f t="shared" si="3"/>
        <v>1656.9</v>
      </c>
      <c r="H16" s="9">
        <f t="shared" si="3"/>
        <v>1693.6</v>
      </c>
      <c r="I16" s="9">
        <f t="shared" si="3"/>
        <v>1691.3</v>
      </c>
      <c r="J16" s="9">
        <f t="shared" si="3"/>
        <v>1785.4</v>
      </c>
      <c r="K16" s="9">
        <f t="shared" si="3"/>
        <v>1654.3</v>
      </c>
      <c r="L16" s="9">
        <f t="shared" si="3"/>
        <v>1648.3</v>
      </c>
      <c r="M16" s="9">
        <f t="shared" si="3"/>
        <v>1650.4</v>
      </c>
      <c r="N16" s="9">
        <f t="shared" si="3"/>
        <v>1650.8999999999999</v>
      </c>
      <c r="O16" s="9">
        <f t="shared" si="3"/>
        <v>1657.8999999999999</v>
      </c>
      <c r="P16" s="9">
        <f t="shared" si="3"/>
        <v>1662.3</v>
      </c>
      <c r="Q16" s="9">
        <f t="shared" si="3"/>
        <v>2456</v>
      </c>
      <c r="R16" s="9">
        <f t="shared" ref="R16" si="4">R6+R7+R8+R9+R10+R14+R15</f>
        <v>1673.2060000000001</v>
      </c>
    </row>
    <row r="17" spans="2:17" x14ac:dyDescent="0.35">
      <c r="B17" s="22"/>
      <c r="C17" s="22"/>
      <c r="D17" s="22"/>
      <c r="Q17" s="76"/>
    </row>
    <row r="18" spans="2:17" x14ac:dyDescent="0.35">
      <c r="B18" s="22"/>
      <c r="C18" s="22"/>
      <c r="D18" s="22"/>
    </row>
    <row r="19" spans="2:17" x14ac:dyDescent="0.35">
      <c r="B19" s="22"/>
      <c r="C19" s="22"/>
      <c r="D19" s="22"/>
    </row>
    <row r="20" spans="2:17" x14ac:dyDescent="0.35">
      <c r="B20" s="22"/>
      <c r="C20" s="22"/>
      <c r="D20" s="22"/>
    </row>
    <row r="21" spans="2:17" x14ac:dyDescent="0.35">
      <c r="B21" s="22"/>
      <c r="C21" s="22"/>
      <c r="D21" s="22"/>
    </row>
    <row r="22" spans="2:17" x14ac:dyDescent="0.35">
      <c r="B22" s="22"/>
      <c r="C22" s="22"/>
      <c r="D22" s="22"/>
    </row>
    <row r="23" spans="2:17" x14ac:dyDescent="0.35">
      <c r="B23" s="22"/>
      <c r="C23" s="22"/>
      <c r="D23" s="22"/>
    </row>
    <row r="24" spans="2:17" x14ac:dyDescent="0.35">
      <c r="B24" s="22"/>
      <c r="C24" s="22"/>
    </row>
  </sheetData>
  <mergeCells count="3">
    <mergeCell ref="A1:R1"/>
    <mergeCell ref="A2:R2"/>
    <mergeCell ref="A3:R3"/>
  </mergeCells>
  <pageMargins left="0.9055118110236221" right="0.70866141732283472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3"/>
  <sheetViews>
    <sheetView zoomScaleNormal="100" workbookViewId="0">
      <selection activeCell="Q13" sqref="Q13"/>
    </sheetView>
  </sheetViews>
  <sheetFormatPr defaultColWidth="9.109375" defaultRowHeight="18" x14ac:dyDescent="0.35"/>
  <cols>
    <col min="1" max="1" width="9.33203125" style="1" customWidth="1"/>
    <col min="2" max="2" width="13" style="1" customWidth="1"/>
    <col min="3" max="3" width="28.6640625" style="1" customWidth="1"/>
    <col min="4" max="4" width="0.109375" style="2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7.5546875" style="1" customWidth="1"/>
    <col min="18" max="18" width="19.88671875" style="1" customWidth="1"/>
    <col min="19" max="16384" width="9.109375" style="1"/>
  </cols>
  <sheetData>
    <row r="1" spans="1:18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x14ac:dyDescent="0.35">
      <c r="A3" s="101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35">
      <c r="D4" s="23"/>
      <c r="R4" s="23" t="s">
        <v>27</v>
      </c>
    </row>
    <row r="5" spans="1:18" ht="47.25" customHeight="1" x14ac:dyDescent="0.35">
      <c r="A5" s="3" t="s">
        <v>0</v>
      </c>
      <c r="B5" s="3" t="s">
        <v>1</v>
      </c>
      <c r="C5" s="3" t="s">
        <v>32</v>
      </c>
      <c r="D5" s="31" t="s">
        <v>38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6" t="s">
        <v>74</v>
      </c>
      <c r="R5" s="16" t="s">
        <v>51</v>
      </c>
    </row>
    <row r="6" spans="1:18" ht="36" x14ac:dyDescent="0.35">
      <c r="A6" s="8">
        <v>70802</v>
      </c>
      <c r="B6" s="51" t="s">
        <v>69</v>
      </c>
      <c r="C6" s="52" t="s">
        <v>70</v>
      </c>
      <c r="D6" s="4">
        <v>3144</v>
      </c>
      <c r="E6" s="4">
        <v>3144</v>
      </c>
      <c r="F6" s="4">
        <v>3144</v>
      </c>
      <c r="G6" s="4">
        <v>3144</v>
      </c>
      <c r="H6" s="4">
        <v>3144</v>
      </c>
      <c r="I6" s="4">
        <v>3144</v>
      </c>
      <c r="J6" s="4">
        <v>3144</v>
      </c>
      <c r="K6" s="4">
        <v>3144</v>
      </c>
      <c r="L6" s="4">
        <v>3144</v>
      </c>
      <c r="M6" s="4">
        <v>3144</v>
      </c>
      <c r="N6" s="4">
        <v>3144</v>
      </c>
      <c r="O6" s="4">
        <v>3144</v>
      </c>
      <c r="P6" s="4">
        <v>3144</v>
      </c>
      <c r="Q6" s="4">
        <f>2344.4+504.9</f>
        <v>2849.3</v>
      </c>
      <c r="R6" s="4">
        <f>1658.192+380.1</f>
        <v>2038.2919999999999</v>
      </c>
    </row>
    <row r="7" spans="1:18" ht="51.75" customHeight="1" x14ac:dyDescent="0.35">
      <c r="A7" s="8"/>
      <c r="B7" s="3">
        <v>2210</v>
      </c>
      <c r="C7" s="24" t="s">
        <v>33</v>
      </c>
      <c r="D7" s="4">
        <v>2.2000000000000002</v>
      </c>
      <c r="E7" s="7"/>
      <c r="F7" s="7"/>
      <c r="G7" s="7">
        <v>2.2000000000000002</v>
      </c>
      <c r="H7" s="7">
        <v>2.2000000000000002</v>
      </c>
      <c r="I7" s="7">
        <v>0.2</v>
      </c>
      <c r="J7" s="7">
        <v>2</v>
      </c>
      <c r="K7" s="7">
        <v>2</v>
      </c>
      <c r="L7" s="7">
        <v>2</v>
      </c>
      <c r="M7" s="7">
        <v>2</v>
      </c>
      <c r="N7" s="7">
        <v>2</v>
      </c>
      <c r="O7" s="7">
        <v>0.7</v>
      </c>
      <c r="P7" s="7"/>
      <c r="Q7" s="4">
        <v>0</v>
      </c>
      <c r="R7" s="4">
        <v>0</v>
      </c>
    </row>
    <row r="8" spans="1:18" ht="55.5" customHeight="1" x14ac:dyDescent="0.35">
      <c r="A8" s="8"/>
      <c r="B8" s="3">
        <v>2240</v>
      </c>
      <c r="C8" s="24" t="s">
        <v>34</v>
      </c>
      <c r="D8" s="4">
        <v>7.8</v>
      </c>
      <c r="E8" s="7"/>
      <c r="F8" s="7">
        <v>5</v>
      </c>
      <c r="G8" s="7">
        <v>2.5</v>
      </c>
      <c r="H8" s="7">
        <v>2.5</v>
      </c>
      <c r="I8" s="7">
        <v>3</v>
      </c>
      <c r="J8" s="7">
        <v>2.5</v>
      </c>
      <c r="K8" s="7">
        <v>2.2000000000000002</v>
      </c>
      <c r="L8" s="7">
        <v>2.2000000000000002</v>
      </c>
      <c r="M8" s="7">
        <v>2.2000000000000002</v>
      </c>
      <c r="N8" s="7">
        <v>5</v>
      </c>
      <c r="O8" s="7"/>
      <c r="P8" s="7"/>
      <c r="Q8" s="4">
        <v>0</v>
      </c>
      <c r="R8" s="4">
        <v>0</v>
      </c>
    </row>
    <row r="9" spans="1:18" ht="36" x14ac:dyDescent="0.35">
      <c r="A9" s="8"/>
      <c r="B9" s="57">
        <v>2270</v>
      </c>
      <c r="C9" s="61" t="s">
        <v>35</v>
      </c>
      <c r="D9" s="58">
        <f>SUM(D10:D12)</f>
        <v>44.8</v>
      </c>
      <c r="E9" s="58">
        <f t="shared" ref="E9:Q9" si="0">SUM(E10:E12)</f>
        <v>7.1</v>
      </c>
      <c r="F9" s="58">
        <f t="shared" si="0"/>
        <v>8.3000000000000007</v>
      </c>
      <c r="G9" s="58">
        <f t="shared" si="0"/>
        <v>8</v>
      </c>
      <c r="H9" s="58">
        <f t="shared" si="0"/>
        <v>3.7</v>
      </c>
      <c r="I9" s="58">
        <f t="shared" si="0"/>
        <v>0.7</v>
      </c>
      <c r="J9" s="58">
        <f t="shared" si="0"/>
        <v>0.6</v>
      </c>
      <c r="K9" s="58">
        <f t="shared" si="0"/>
        <v>0.5</v>
      </c>
      <c r="L9" s="58">
        <f t="shared" si="0"/>
        <v>0.5</v>
      </c>
      <c r="M9" s="58">
        <f t="shared" si="0"/>
        <v>0.89999999999999991</v>
      </c>
      <c r="N9" s="58">
        <f t="shared" si="0"/>
        <v>5.6</v>
      </c>
      <c r="O9" s="58">
        <f t="shared" si="0"/>
        <v>6.3999999999999995</v>
      </c>
      <c r="P9" s="58">
        <f t="shared" si="0"/>
        <v>2.5</v>
      </c>
      <c r="Q9" s="58">
        <f t="shared" si="0"/>
        <v>39.4</v>
      </c>
      <c r="R9" s="58">
        <f>R10+R11+R12</f>
        <v>34.128</v>
      </c>
    </row>
    <row r="10" spans="1:18" x14ac:dyDescent="0.35">
      <c r="A10" s="8"/>
      <c r="B10" s="3">
        <v>2271</v>
      </c>
      <c r="C10" s="26" t="s">
        <v>39</v>
      </c>
      <c r="D10" s="4">
        <f>SUM(E10:P10)</f>
        <v>36.700000000000003</v>
      </c>
      <c r="E10" s="7">
        <v>6.3</v>
      </c>
      <c r="F10" s="7">
        <v>7.5</v>
      </c>
      <c r="G10" s="7">
        <v>7.4</v>
      </c>
      <c r="H10" s="7">
        <v>3</v>
      </c>
      <c r="I10" s="7"/>
      <c r="J10" s="7"/>
      <c r="K10" s="7"/>
      <c r="L10" s="7"/>
      <c r="M10" s="7"/>
      <c r="N10" s="7">
        <v>4.8</v>
      </c>
      <c r="O10" s="7">
        <v>5.7</v>
      </c>
      <c r="P10" s="7">
        <v>2</v>
      </c>
      <c r="Q10" s="4">
        <v>32</v>
      </c>
      <c r="R10" s="4">
        <v>25.513000000000002</v>
      </c>
    </row>
    <row r="11" spans="1:18" ht="36" x14ac:dyDescent="0.35">
      <c r="A11" s="8"/>
      <c r="B11" s="3">
        <v>2272</v>
      </c>
      <c r="C11" s="25" t="s">
        <v>40</v>
      </c>
      <c r="D11" s="4">
        <f t="shared" ref="D11:D12" si="1">SUM(E11:P11)</f>
        <v>1.8</v>
      </c>
      <c r="E11" s="7">
        <v>0.2</v>
      </c>
      <c r="F11" s="7">
        <v>0.2</v>
      </c>
      <c r="G11" s="7">
        <v>0.1</v>
      </c>
      <c r="H11" s="7">
        <v>0.2</v>
      </c>
      <c r="I11" s="7">
        <v>0.2</v>
      </c>
      <c r="J11" s="7">
        <v>0.1</v>
      </c>
      <c r="K11" s="7">
        <v>0.1</v>
      </c>
      <c r="L11" s="7">
        <v>0.1</v>
      </c>
      <c r="M11" s="7">
        <v>0.2</v>
      </c>
      <c r="N11" s="7">
        <v>0.2</v>
      </c>
      <c r="O11" s="7">
        <v>0.1</v>
      </c>
      <c r="P11" s="7">
        <v>0.1</v>
      </c>
      <c r="Q11" s="4">
        <v>1.8</v>
      </c>
      <c r="R11" s="4">
        <v>1.2509999999999999</v>
      </c>
    </row>
    <row r="12" spans="1:18" x14ac:dyDescent="0.35">
      <c r="A12" s="8"/>
      <c r="B12" s="3">
        <v>2273</v>
      </c>
      <c r="C12" s="26" t="s">
        <v>41</v>
      </c>
      <c r="D12" s="4">
        <f t="shared" si="1"/>
        <v>6.3</v>
      </c>
      <c r="E12" s="7">
        <v>0.6</v>
      </c>
      <c r="F12" s="7">
        <v>0.6</v>
      </c>
      <c r="G12" s="7">
        <v>0.5</v>
      </c>
      <c r="H12" s="7">
        <v>0.5</v>
      </c>
      <c r="I12" s="7">
        <v>0.5</v>
      </c>
      <c r="J12" s="7">
        <v>0.5</v>
      </c>
      <c r="K12" s="7">
        <v>0.4</v>
      </c>
      <c r="L12" s="7">
        <v>0.4</v>
      </c>
      <c r="M12" s="7">
        <v>0.7</v>
      </c>
      <c r="N12" s="7">
        <v>0.6</v>
      </c>
      <c r="O12" s="7">
        <v>0.6</v>
      </c>
      <c r="P12" s="7">
        <v>0.4</v>
      </c>
      <c r="Q12" s="4">
        <v>5.6</v>
      </c>
      <c r="R12" s="4">
        <v>7.3639999999999999</v>
      </c>
    </row>
    <row r="13" spans="1:18" ht="18" customHeight="1" x14ac:dyDescent="0.35">
      <c r="A13" s="8"/>
      <c r="B13" s="12"/>
      <c r="C13" s="26"/>
      <c r="D13" s="9">
        <f>D6+D7+D8+D9</f>
        <v>3198.8</v>
      </c>
      <c r="E13" s="9">
        <f t="shared" ref="E13:Q13" si="2">E6+E7+E8+E9</f>
        <v>3151.1</v>
      </c>
      <c r="F13" s="9">
        <f t="shared" si="2"/>
        <v>3157.3</v>
      </c>
      <c r="G13" s="9">
        <f t="shared" si="2"/>
        <v>3156.7</v>
      </c>
      <c r="H13" s="9">
        <f t="shared" si="2"/>
        <v>3152.3999999999996</v>
      </c>
      <c r="I13" s="9">
        <f t="shared" si="2"/>
        <v>3147.8999999999996</v>
      </c>
      <c r="J13" s="9">
        <f t="shared" si="2"/>
        <v>3149.1</v>
      </c>
      <c r="K13" s="9">
        <f t="shared" si="2"/>
        <v>3148.7</v>
      </c>
      <c r="L13" s="9">
        <f t="shared" si="2"/>
        <v>3148.7</v>
      </c>
      <c r="M13" s="9">
        <f t="shared" si="2"/>
        <v>3149.1</v>
      </c>
      <c r="N13" s="9">
        <f t="shared" si="2"/>
        <v>3156.6</v>
      </c>
      <c r="O13" s="9">
        <f t="shared" si="2"/>
        <v>3151.1</v>
      </c>
      <c r="P13" s="9">
        <f t="shared" si="2"/>
        <v>3146.5</v>
      </c>
      <c r="Q13" s="9">
        <f t="shared" si="2"/>
        <v>2888.7000000000003</v>
      </c>
      <c r="R13" s="9">
        <f t="shared" ref="R13" si="3">R6+R7+R8+R9</f>
        <v>2072.42</v>
      </c>
    </row>
  </sheetData>
  <mergeCells count="3">
    <mergeCell ref="A1:R1"/>
    <mergeCell ref="A2:R2"/>
    <mergeCell ref="A3:R3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91"/>
  <sheetViews>
    <sheetView zoomScaleNormal="100" workbookViewId="0">
      <selection activeCell="R7" sqref="R7"/>
    </sheetView>
  </sheetViews>
  <sheetFormatPr defaultColWidth="9.109375" defaultRowHeight="18" x14ac:dyDescent="0.35"/>
  <cols>
    <col min="1" max="1" width="9.44140625" style="1" customWidth="1"/>
    <col min="2" max="2" width="13" style="1" customWidth="1"/>
    <col min="3" max="3" width="31.109375" style="1" customWidth="1"/>
    <col min="4" max="4" width="16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5.33203125" style="1" customWidth="1"/>
    <col min="18" max="18" width="21.5546875" style="1" customWidth="1"/>
    <col min="19" max="16384" width="9.109375" style="1"/>
  </cols>
  <sheetData>
    <row r="1" spans="1:18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x14ac:dyDescent="0.35">
      <c r="A3" s="101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35">
      <c r="D4" s="23"/>
      <c r="R4" s="23" t="s">
        <v>27</v>
      </c>
    </row>
    <row r="5" spans="1:18" ht="33" customHeight="1" x14ac:dyDescent="0.3">
      <c r="A5" s="6">
        <v>70802</v>
      </c>
      <c r="B5" s="103"/>
      <c r="C5" s="104"/>
      <c r="D5" s="10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6"/>
    </row>
    <row r="6" spans="1:18" ht="35.25" customHeight="1" x14ac:dyDescent="0.35">
      <c r="A6" s="3" t="s">
        <v>0</v>
      </c>
      <c r="B6" s="3" t="s">
        <v>1</v>
      </c>
      <c r="C6" s="3" t="s">
        <v>32</v>
      </c>
      <c r="D6" s="31" t="s">
        <v>38</v>
      </c>
      <c r="E6" s="31" t="s">
        <v>2</v>
      </c>
      <c r="F6" s="31" t="s">
        <v>3</v>
      </c>
      <c r="G6" s="31" t="s">
        <v>4</v>
      </c>
      <c r="H6" s="31" t="s">
        <v>5</v>
      </c>
      <c r="I6" s="31" t="s">
        <v>6</v>
      </c>
      <c r="J6" s="31" t="s">
        <v>7</v>
      </c>
      <c r="K6" s="31" t="s">
        <v>8</v>
      </c>
      <c r="L6" s="31" t="s">
        <v>9</v>
      </c>
      <c r="M6" s="31" t="s">
        <v>10</v>
      </c>
      <c r="N6" s="31" t="s">
        <v>11</v>
      </c>
      <c r="O6" s="31" t="s">
        <v>12</v>
      </c>
      <c r="P6" s="31" t="s">
        <v>13</v>
      </c>
      <c r="Q6" s="31" t="s">
        <v>74</v>
      </c>
      <c r="R6" s="18" t="s">
        <v>51</v>
      </c>
    </row>
    <row r="7" spans="1:18" ht="36" x14ac:dyDescent="0.35">
      <c r="A7" s="6"/>
      <c r="B7" s="51" t="s">
        <v>69</v>
      </c>
      <c r="C7" s="52" t="s">
        <v>70</v>
      </c>
      <c r="D7" s="4">
        <v>2556.1</v>
      </c>
      <c r="E7" s="4">
        <v>2556.1</v>
      </c>
      <c r="F7" s="4">
        <v>2556.1</v>
      </c>
      <c r="G7" s="4">
        <v>2556.1</v>
      </c>
      <c r="H7" s="4">
        <v>2556.1</v>
      </c>
      <c r="I7" s="4">
        <v>2556.1</v>
      </c>
      <c r="J7" s="4">
        <v>2556.1</v>
      </c>
      <c r="K7" s="4">
        <v>2556.1</v>
      </c>
      <c r="L7" s="4">
        <v>2556.1</v>
      </c>
      <c r="M7" s="4">
        <v>2556.1</v>
      </c>
      <c r="N7" s="4">
        <v>2556.1</v>
      </c>
      <c r="O7" s="4">
        <v>2556.1</v>
      </c>
      <c r="P7" s="4">
        <v>2556.1</v>
      </c>
      <c r="Q7" s="4">
        <f>3318.1+730</f>
        <v>4048.1</v>
      </c>
      <c r="R7" s="4">
        <f>2080.8+478.9</f>
        <v>2559.7000000000003</v>
      </c>
    </row>
    <row r="8" spans="1:18" ht="36" x14ac:dyDescent="0.35">
      <c r="A8" s="8"/>
      <c r="B8" s="3">
        <v>2210</v>
      </c>
      <c r="C8" s="24" t="s">
        <v>33</v>
      </c>
      <c r="D8" s="4">
        <v>364.9</v>
      </c>
      <c r="E8" s="15">
        <v>0.2</v>
      </c>
      <c r="F8" s="15">
        <v>0.4</v>
      </c>
      <c r="G8" s="15">
        <v>0.4</v>
      </c>
      <c r="H8" s="15">
        <v>0.4</v>
      </c>
      <c r="I8" s="15"/>
      <c r="J8" s="15"/>
      <c r="K8" s="15"/>
      <c r="L8" s="15"/>
      <c r="M8" s="15"/>
      <c r="N8" s="15"/>
      <c r="O8" s="15"/>
      <c r="P8" s="15"/>
      <c r="Q8" s="4">
        <v>338.5</v>
      </c>
      <c r="R8" s="4">
        <v>84.668999999999997</v>
      </c>
    </row>
    <row r="9" spans="1:18" ht="36" x14ac:dyDescent="0.35">
      <c r="A9" s="8"/>
      <c r="B9" s="3">
        <v>2240</v>
      </c>
      <c r="C9" s="24" t="s">
        <v>34</v>
      </c>
      <c r="D9" s="4">
        <v>1482.8</v>
      </c>
      <c r="E9" s="15"/>
      <c r="F9" s="15">
        <v>0.3</v>
      </c>
      <c r="G9" s="15">
        <v>0.3</v>
      </c>
      <c r="H9" s="15">
        <v>0.3</v>
      </c>
      <c r="I9" s="15">
        <v>0.3</v>
      </c>
      <c r="J9" s="15">
        <v>0.3</v>
      </c>
      <c r="K9" s="15">
        <v>0.3</v>
      </c>
      <c r="L9" s="15">
        <v>0.3</v>
      </c>
      <c r="M9" s="15">
        <v>0.2</v>
      </c>
      <c r="N9" s="15">
        <v>0.2</v>
      </c>
      <c r="O9" s="15">
        <v>0.2</v>
      </c>
      <c r="P9" s="15">
        <v>0.2</v>
      </c>
      <c r="Q9" s="4">
        <v>1421.7</v>
      </c>
      <c r="R9" s="4">
        <v>7.0209999999999999</v>
      </c>
    </row>
    <row r="10" spans="1:18" x14ac:dyDescent="0.35">
      <c r="A10" s="8"/>
      <c r="B10" s="3">
        <v>2250</v>
      </c>
      <c r="C10" s="25" t="s">
        <v>44</v>
      </c>
      <c r="D10" s="4">
        <v>5.0999999999999996</v>
      </c>
      <c r="E10" s="15"/>
      <c r="F10" s="15"/>
      <c r="G10" s="15">
        <v>1.6</v>
      </c>
      <c r="H10" s="15"/>
      <c r="I10" s="15"/>
      <c r="J10" s="15"/>
      <c r="K10" s="15"/>
      <c r="L10" s="15"/>
      <c r="M10" s="15"/>
      <c r="N10" s="15"/>
      <c r="O10" s="15"/>
      <c r="P10" s="15"/>
      <c r="Q10" s="4">
        <v>5.7</v>
      </c>
      <c r="R10" s="4"/>
    </row>
    <row r="11" spans="1:18" ht="36" x14ac:dyDescent="0.35">
      <c r="A11" s="8"/>
      <c r="B11" s="57">
        <v>2270</v>
      </c>
      <c r="C11" s="61" t="s">
        <v>35</v>
      </c>
      <c r="D11" s="58">
        <f>D12+D13+D14</f>
        <v>15.7</v>
      </c>
      <c r="E11" s="58">
        <f t="shared" ref="E11:Q11" si="0">E12+E13+E14</f>
        <v>71.099999999999994</v>
      </c>
      <c r="F11" s="58">
        <f t="shared" si="0"/>
        <v>110.4</v>
      </c>
      <c r="G11" s="58">
        <f t="shared" si="0"/>
        <v>115.9</v>
      </c>
      <c r="H11" s="58">
        <f t="shared" si="0"/>
        <v>5.3</v>
      </c>
      <c r="I11" s="58">
        <f t="shared" si="0"/>
        <v>5.3</v>
      </c>
      <c r="J11" s="58">
        <f t="shared" si="0"/>
        <v>4.4000000000000004</v>
      </c>
      <c r="K11" s="58">
        <f t="shared" si="0"/>
        <v>2.2999999999999998</v>
      </c>
      <c r="L11" s="58">
        <f t="shared" si="0"/>
        <v>2.2999999999999998</v>
      </c>
      <c r="M11" s="58">
        <f t="shared" si="0"/>
        <v>2.2999999999999998</v>
      </c>
      <c r="N11" s="58">
        <f t="shared" si="0"/>
        <v>2.2999999999999998</v>
      </c>
      <c r="O11" s="58">
        <f t="shared" si="0"/>
        <v>2.2999999999999998</v>
      </c>
      <c r="P11" s="58">
        <f t="shared" si="0"/>
        <v>2.4</v>
      </c>
      <c r="Q11" s="58">
        <f t="shared" si="0"/>
        <v>46.5</v>
      </c>
      <c r="R11" s="58">
        <f t="shared" ref="R11" si="1">R12+R13+R14</f>
        <v>0</v>
      </c>
    </row>
    <row r="12" spans="1:18" x14ac:dyDescent="0.35">
      <c r="A12" s="8"/>
      <c r="B12" s="3">
        <v>2271</v>
      </c>
      <c r="C12" s="26" t="s">
        <v>39</v>
      </c>
      <c r="D12" s="4">
        <v>12.7</v>
      </c>
      <c r="E12" s="7">
        <v>52.9</v>
      </c>
      <c r="F12" s="7">
        <v>87.4</v>
      </c>
      <c r="G12" s="7">
        <v>89.7</v>
      </c>
      <c r="H12" s="7"/>
      <c r="I12" s="7"/>
      <c r="J12" s="7"/>
      <c r="K12" s="7"/>
      <c r="L12" s="7"/>
      <c r="M12" s="7"/>
      <c r="N12" s="7"/>
      <c r="O12" s="7"/>
      <c r="P12" s="7"/>
      <c r="Q12" s="4">
        <v>35</v>
      </c>
      <c r="R12" s="4">
        <v>0</v>
      </c>
    </row>
    <row r="13" spans="1:18" ht="36" x14ac:dyDescent="0.35">
      <c r="A13" s="8"/>
      <c r="B13" s="3">
        <v>2272</v>
      </c>
      <c r="C13" s="25" t="s">
        <v>40</v>
      </c>
      <c r="D13" s="4">
        <v>0.6</v>
      </c>
      <c r="E13" s="7">
        <v>1.3</v>
      </c>
      <c r="F13" s="7">
        <v>2.7</v>
      </c>
      <c r="G13" s="7">
        <v>3.2</v>
      </c>
      <c r="H13" s="7">
        <v>2.2999999999999998</v>
      </c>
      <c r="I13" s="7">
        <v>2.2999999999999998</v>
      </c>
      <c r="J13" s="7">
        <v>2.2999999999999998</v>
      </c>
      <c r="K13" s="7">
        <v>2.2999999999999998</v>
      </c>
      <c r="L13" s="7">
        <v>2.2999999999999998</v>
      </c>
      <c r="M13" s="7">
        <v>2.2999999999999998</v>
      </c>
      <c r="N13" s="7">
        <v>2.2999999999999998</v>
      </c>
      <c r="O13" s="7">
        <v>2.2999999999999998</v>
      </c>
      <c r="P13" s="7">
        <v>2.4</v>
      </c>
      <c r="Q13" s="4">
        <v>1.5</v>
      </c>
      <c r="R13" s="4">
        <v>0</v>
      </c>
    </row>
    <row r="14" spans="1:18" x14ac:dyDescent="0.35">
      <c r="A14" s="8"/>
      <c r="B14" s="3">
        <v>2273</v>
      </c>
      <c r="C14" s="26" t="s">
        <v>41</v>
      </c>
      <c r="D14" s="4">
        <v>2.4</v>
      </c>
      <c r="E14" s="7">
        <v>16.899999999999999</v>
      </c>
      <c r="F14" s="7">
        <v>20.3</v>
      </c>
      <c r="G14" s="7">
        <v>23</v>
      </c>
      <c r="H14" s="7">
        <v>3</v>
      </c>
      <c r="I14" s="7">
        <v>3</v>
      </c>
      <c r="J14" s="7">
        <v>2.1</v>
      </c>
      <c r="K14" s="7"/>
      <c r="L14" s="7"/>
      <c r="M14" s="7"/>
      <c r="N14" s="7"/>
      <c r="O14" s="7"/>
      <c r="P14" s="7"/>
      <c r="Q14" s="4">
        <v>10</v>
      </c>
      <c r="R14" s="4">
        <v>0</v>
      </c>
    </row>
    <row r="15" spans="1:18" ht="90" x14ac:dyDescent="0.35">
      <c r="A15" s="8"/>
      <c r="B15" s="3">
        <v>2282</v>
      </c>
      <c r="C15" s="25" t="s">
        <v>86</v>
      </c>
      <c r="D15" s="4">
        <v>871.6</v>
      </c>
      <c r="E15" s="15">
        <v>9.5</v>
      </c>
      <c r="F15" s="15">
        <v>19.600000000000001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v>250</v>
      </c>
      <c r="R15" s="4"/>
    </row>
    <row r="16" spans="1:18" x14ac:dyDescent="0.35">
      <c r="A16" s="8"/>
      <c r="B16" s="3">
        <v>2730</v>
      </c>
      <c r="C16" s="26" t="s">
        <v>46</v>
      </c>
      <c r="D16" s="4">
        <v>200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v>50</v>
      </c>
      <c r="R16" s="4">
        <v>40</v>
      </c>
    </row>
    <row r="17" spans="1:18" ht="36" x14ac:dyDescent="0.35">
      <c r="A17" s="8"/>
      <c r="B17" s="3">
        <v>2610</v>
      </c>
      <c r="C17" s="63" t="s">
        <v>71</v>
      </c>
      <c r="D17" s="4">
        <v>162.4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v>0</v>
      </c>
      <c r="R17" s="4">
        <v>0</v>
      </c>
    </row>
    <row r="18" spans="1:18" x14ac:dyDescent="0.35">
      <c r="A18" s="8"/>
      <c r="B18" s="12"/>
      <c r="C18" s="12"/>
      <c r="D18" s="9">
        <f>D7+D8+D9+D10+D11+D15+D16+D17</f>
        <v>5658.6</v>
      </c>
      <c r="E18" s="9">
        <f t="shared" ref="E18:Q18" si="2">E7+E8+E9+E10+E11+E15+E16+E17</f>
        <v>2636.8999999999996</v>
      </c>
      <c r="F18" s="9">
        <f t="shared" si="2"/>
        <v>2686.8</v>
      </c>
      <c r="G18" s="9">
        <f t="shared" si="2"/>
        <v>2674.3</v>
      </c>
      <c r="H18" s="9">
        <f t="shared" si="2"/>
        <v>2562.1000000000004</v>
      </c>
      <c r="I18" s="9">
        <f t="shared" si="2"/>
        <v>2561.7000000000003</v>
      </c>
      <c r="J18" s="9">
        <f t="shared" si="2"/>
        <v>2560.8000000000002</v>
      </c>
      <c r="K18" s="9">
        <f t="shared" si="2"/>
        <v>2558.7000000000003</v>
      </c>
      <c r="L18" s="9">
        <f t="shared" si="2"/>
        <v>2558.7000000000003</v>
      </c>
      <c r="M18" s="9">
        <f t="shared" si="2"/>
        <v>2558.6</v>
      </c>
      <c r="N18" s="9">
        <f t="shared" si="2"/>
        <v>2558.6</v>
      </c>
      <c r="O18" s="9">
        <f t="shared" si="2"/>
        <v>2558.6</v>
      </c>
      <c r="P18" s="9">
        <f t="shared" si="2"/>
        <v>2558.6999999999998</v>
      </c>
      <c r="Q18" s="9">
        <f t="shared" si="2"/>
        <v>6160.5</v>
      </c>
      <c r="R18" s="9">
        <f t="shared" ref="R18" si="3">R7+R8+R9+R10+R11+R15+R16+R17</f>
        <v>2691.3900000000003</v>
      </c>
    </row>
    <row r="19" spans="1:18" x14ac:dyDescent="0.35">
      <c r="B19" s="50"/>
      <c r="C19" s="50"/>
      <c r="D19" s="50"/>
      <c r="R19" s="29"/>
    </row>
    <row r="20" spans="1:18" x14ac:dyDescent="0.35">
      <c r="B20" s="50"/>
      <c r="C20" s="50"/>
      <c r="D20" s="50"/>
    </row>
    <row r="21" spans="1:18" x14ac:dyDescent="0.35">
      <c r="B21" s="50"/>
      <c r="C21" s="50"/>
      <c r="D21" s="50"/>
    </row>
    <row r="22" spans="1:18" x14ac:dyDescent="0.35">
      <c r="B22" s="50"/>
      <c r="C22" s="50"/>
      <c r="D22" s="50"/>
    </row>
    <row r="23" spans="1:18" x14ac:dyDescent="0.35">
      <c r="B23" s="50"/>
      <c r="C23" s="50"/>
      <c r="D23" s="50"/>
    </row>
    <row r="24" spans="1:18" x14ac:dyDescent="0.35">
      <c r="B24" s="50"/>
      <c r="C24" s="50"/>
      <c r="D24" s="50"/>
    </row>
    <row r="25" spans="1:18" x14ac:dyDescent="0.35">
      <c r="B25" s="50"/>
      <c r="C25" s="50"/>
      <c r="D25" s="50"/>
    </row>
    <row r="26" spans="1:18" x14ac:dyDescent="0.35">
      <c r="B26" s="50"/>
      <c r="C26" s="50"/>
      <c r="D26" s="50"/>
    </row>
    <row r="27" spans="1:18" x14ac:dyDescent="0.35">
      <c r="B27" s="50"/>
      <c r="C27" s="50"/>
      <c r="D27" s="50"/>
    </row>
    <row r="28" spans="1:18" x14ac:dyDescent="0.35">
      <c r="B28" s="50"/>
      <c r="C28" s="50"/>
      <c r="D28" s="50"/>
    </row>
    <row r="29" spans="1:18" x14ac:dyDescent="0.35">
      <c r="B29" s="50"/>
      <c r="C29" s="50"/>
      <c r="D29" s="50"/>
    </row>
    <row r="30" spans="1:18" x14ac:dyDescent="0.35">
      <c r="B30" s="50"/>
      <c r="C30" s="50"/>
      <c r="D30" s="50"/>
    </row>
    <row r="31" spans="1:18" x14ac:dyDescent="0.35">
      <c r="B31" s="50"/>
      <c r="C31" s="50"/>
      <c r="D31" s="50"/>
    </row>
    <row r="32" spans="1:18" x14ac:dyDescent="0.35">
      <c r="B32" s="50"/>
      <c r="C32" s="50"/>
      <c r="D32" s="50"/>
    </row>
    <row r="33" spans="2:4" x14ac:dyDescent="0.35">
      <c r="B33" s="50"/>
      <c r="C33" s="50"/>
      <c r="D33" s="50"/>
    </row>
    <row r="34" spans="2:4" x14ac:dyDescent="0.35">
      <c r="B34" s="50"/>
      <c r="C34" s="50"/>
      <c r="D34" s="50"/>
    </row>
    <row r="35" spans="2:4" x14ac:dyDescent="0.35">
      <c r="B35" s="50"/>
      <c r="C35" s="50"/>
      <c r="D35" s="50"/>
    </row>
    <row r="36" spans="2:4" x14ac:dyDescent="0.35">
      <c r="B36" s="50"/>
      <c r="C36" s="50"/>
      <c r="D36" s="50"/>
    </row>
    <row r="37" spans="2:4" x14ac:dyDescent="0.35">
      <c r="B37" s="50"/>
      <c r="C37" s="50"/>
      <c r="D37" s="50"/>
    </row>
    <row r="38" spans="2:4" x14ac:dyDescent="0.35">
      <c r="B38" s="50"/>
      <c r="C38" s="50"/>
      <c r="D38" s="50"/>
    </row>
    <row r="39" spans="2:4" x14ac:dyDescent="0.35">
      <c r="B39" s="50"/>
      <c r="C39" s="50"/>
      <c r="D39" s="50"/>
    </row>
    <row r="40" spans="2:4" x14ac:dyDescent="0.35">
      <c r="B40" s="50"/>
      <c r="C40" s="50"/>
      <c r="D40" s="50"/>
    </row>
    <row r="41" spans="2:4" x14ac:dyDescent="0.35">
      <c r="B41" s="50"/>
      <c r="C41" s="50"/>
      <c r="D41" s="50"/>
    </row>
    <row r="42" spans="2:4" x14ac:dyDescent="0.35">
      <c r="B42" s="50"/>
      <c r="C42" s="50"/>
      <c r="D42" s="50"/>
    </row>
    <row r="43" spans="2:4" x14ac:dyDescent="0.35">
      <c r="B43" s="50"/>
      <c r="C43" s="50"/>
      <c r="D43" s="50"/>
    </row>
    <row r="44" spans="2:4" x14ac:dyDescent="0.35">
      <c r="B44" s="50"/>
      <c r="C44" s="50"/>
      <c r="D44" s="50"/>
    </row>
    <row r="45" spans="2:4" x14ac:dyDescent="0.35">
      <c r="B45" s="50"/>
      <c r="C45" s="50"/>
      <c r="D45" s="50"/>
    </row>
    <row r="46" spans="2:4" x14ac:dyDescent="0.35">
      <c r="B46" s="50"/>
      <c r="C46" s="50"/>
      <c r="D46" s="50"/>
    </row>
    <row r="47" spans="2:4" x14ac:dyDescent="0.35">
      <c r="B47" s="50"/>
      <c r="C47" s="50"/>
      <c r="D47" s="50"/>
    </row>
    <row r="48" spans="2:4" x14ac:dyDescent="0.35">
      <c r="B48" s="50"/>
      <c r="C48" s="50"/>
      <c r="D48" s="50"/>
    </row>
    <row r="49" spans="2:4" x14ac:dyDescent="0.35">
      <c r="B49" s="50"/>
      <c r="C49" s="50"/>
      <c r="D49" s="50"/>
    </row>
    <row r="50" spans="2:4" x14ac:dyDescent="0.35">
      <c r="B50" s="50"/>
      <c r="C50" s="50"/>
      <c r="D50" s="50"/>
    </row>
    <row r="51" spans="2:4" x14ac:dyDescent="0.35">
      <c r="B51" s="50"/>
      <c r="C51" s="50"/>
      <c r="D51" s="50"/>
    </row>
    <row r="52" spans="2:4" x14ac:dyDescent="0.35">
      <c r="B52" s="50"/>
      <c r="C52" s="50"/>
      <c r="D52" s="50"/>
    </row>
    <row r="53" spans="2:4" x14ac:dyDescent="0.35">
      <c r="B53" s="50"/>
      <c r="C53" s="50"/>
      <c r="D53" s="50"/>
    </row>
    <row r="54" spans="2:4" x14ac:dyDescent="0.35">
      <c r="B54" s="50"/>
      <c r="C54" s="50"/>
      <c r="D54" s="50"/>
    </row>
    <row r="55" spans="2:4" x14ac:dyDescent="0.35">
      <c r="B55" s="50"/>
      <c r="C55" s="50"/>
      <c r="D55" s="50"/>
    </row>
    <row r="56" spans="2:4" x14ac:dyDescent="0.35">
      <c r="B56" s="50"/>
      <c r="C56" s="50"/>
      <c r="D56" s="50"/>
    </row>
    <row r="57" spans="2:4" x14ac:dyDescent="0.35">
      <c r="B57" s="50"/>
      <c r="C57" s="50"/>
      <c r="D57" s="50"/>
    </row>
    <row r="58" spans="2:4" x14ac:dyDescent="0.35">
      <c r="B58" s="50"/>
      <c r="C58" s="50"/>
      <c r="D58" s="50"/>
    </row>
    <row r="59" spans="2:4" x14ac:dyDescent="0.35">
      <c r="B59" s="50"/>
      <c r="C59" s="50"/>
      <c r="D59" s="50"/>
    </row>
    <row r="60" spans="2:4" x14ac:dyDescent="0.35">
      <c r="B60" s="50"/>
      <c r="C60" s="50"/>
      <c r="D60" s="50"/>
    </row>
    <row r="61" spans="2:4" x14ac:dyDescent="0.35">
      <c r="B61" s="50"/>
      <c r="C61" s="50"/>
      <c r="D61" s="50"/>
    </row>
    <row r="62" spans="2:4" x14ac:dyDescent="0.35">
      <c r="B62" s="50"/>
      <c r="C62" s="50"/>
      <c r="D62" s="50"/>
    </row>
    <row r="63" spans="2:4" x14ac:dyDescent="0.35">
      <c r="B63" s="50"/>
      <c r="C63" s="50"/>
      <c r="D63" s="50"/>
    </row>
    <row r="64" spans="2:4" x14ac:dyDescent="0.35">
      <c r="B64" s="50"/>
      <c r="C64" s="50"/>
      <c r="D64" s="50"/>
    </row>
    <row r="65" spans="2:4" x14ac:dyDescent="0.35">
      <c r="B65" s="50"/>
      <c r="C65" s="50"/>
      <c r="D65" s="50"/>
    </row>
    <row r="66" spans="2:4" x14ac:dyDescent="0.35">
      <c r="B66" s="50"/>
      <c r="C66" s="50"/>
      <c r="D66" s="50"/>
    </row>
    <row r="67" spans="2:4" x14ac:dyDescent="0.35">
      <c r="B67" s="50"/>
      <c r="C67" s="50"/>
      <c r="D67" s="50"/>
    </row>
    <row r="68" spans="2:4" x14ac:dyDescent="0.35">
      <c r="B68" s="50"/>
      <c r="C68" s="50"/>
      <c r="D68" s="50"/>
    </row>
    <row r="69" spans="2:4" x14ac:dyDescent="0.35">
      <c r="B69" s="50"/>
      <c r="C69" s="50"/>
      <c r="D69" s="50"/>
    </row>
    <row r="70" spans="2:4" x14ac:dyDescent="0.35">
      <c r="B70" s="50"/>
      <c r="C70" s="50"/>
      <c r="D70" s="50"/>
    </row>
    <row r="71" spans="2:4" x14ac:dyDescent="0.35">
      <c r="B71" s="50"/>
      <c r="C71" s="50"/>
      <c r="D71" s="50"/>
    </row>
    <row r="72" spans="2:4" x14ac:dyDescent="0.35">
      <c r="B72" s="50"/>
      <c r="C72" s="50"/>
      <c r="D72" s="50"/>
    </row>
    <row r="73" spans="2:4" x14ac:dyDescent="0.35">
      <c r="B73" s="50"/>
      <c r="C73" s="50"/>
      <c r="D73" s="50"/>
    </row>
    <row r="74" spans="2:4" x14ac:dyDescent="0.35">
      <c r="B74" s="50"/>
      <c r="C74" s="50"/>
      <c r="D74" s="50"/>
    </row>
    <row r="75" spans="2:4" x14ac:dyDescent="0.35">
      <c r="B75" s="50"/>
      <c r="C75" s="50"/>
      <c r="D75" s="50"/>
    </row>
    <row r="76" spans="2:4" x14ac:dyDescent="0.35">
      <c r="B76" s="50"/>
      <c r="C76" s="50"/>
      <c r="D76" s="50"/>
    </row>
    <row r="77" spans="2:4" x14ac:dyDescent="0.35">
      <c r="B77" s="50"/>
      <c r="C77" s="50"/>
      <c r="D77" s="50"/>
    </row>
    <row r="78" spans="2:4" x14ac:dyDescent="0.35">
      <c r="B78" s="50"/>
      <c r="C78" s="50"/>
      <c r="D78" s="50"/>
    </row>
    <row r="79" spans="2:4" x14ac:dyDescent="0.35">
      <c r="B79" s="50"/>
      <c r="C79" s="50"/>
      <c r="D79" s="50"/>
    </row>
    <row r="80" spans="2:4" x14ac:dyDescent="0.35">
      <c r="B80" s="50"/>
      <c r="C80" s="50"/>
      <c r="D80" s="50"/>
    </row>
    <row r="81" spans="1:20" x14ac:dyDescent="0.35">
      <c r="B81" s="50"/>
      <c r="C81" s="50"/>
      <c r="D81" s="50"/>
    </row>
    <row r="82" spans="1:20" x14ac:dyDescent="0.35">
      <c r="B82" s="50"/>
      <c r="C82" s="50"/>
      <c r="D82" s="50"/>
    </row>
    <row r="83" spans="1:20" x14ac:dyDescent="0.35">
      <c r="B83" s="50"/>
      <c r="C83" s="50"/>
      <c r="D83" s="50"/>
    </row>
    <row r="84" spans="1:20" x14ac:dyDescent="0.35">
      <c r="B84" s="50"/>
      <c r="C84" s="50"/>
      <c r="D84" s="50"/>
    </row>
    <row r="85" spans="1:20" x14ac:dyDescent="0.35">
      <c r="B85" s="50"/>
      <c r="C85" s="50"/>
      <c r="D85" s="50"/>
    </row>
    <row r="86" spans="1:20" x14ac:dyDescent="0.35">
      <c r="B86" s="50"/>
      <c r="C86" s="50"/>
      <c r="D86" s="50"/>
    </row>
    <row r="87" spans="1:20" x14ac:dyDescent="0.35">
      <c r="B87" s="50"/>
      <c r="C87" s="50"/>
      <c r="D87" s="50"/>
    </row>
    <row r="88" spans="1:20" x14ac:dyDescent="0.35">
      <c r="B88" s="50"/>
      <c r="C88" s="50"/>
      <c r="D88" s="50"/>
    </row>
    <row r="89" spans="1:20" x14ac:dyDescent="0.35">
      <c r="B89" s="50"/>
      <c r="C89" s="50"/>
      <c r="D89" s="50"/>
    </row>
    <row r="90" spans="1:20" x14ac:dyDescent="0.35">
      <c r="B90" s="50"/>
      <c r="C90" s="50"/>
      <c r="D90" s="50"/>
    </row>
    <row r="91" spans="1:20" s="2" customFormat="1" x14ac:dyDescent="0.35">
      <c r="A91" s="1"/>
      <c r="B91" s="50"/>
      <c r="C91" s="5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</sheetData>
  <mergeCells count="4">
    <mergeCell ref="A1:R1"/>
    <mergeCell ref="A2:R2"/>
    <mergeCell ref="A3:R3"/>
    <mergeCell ref="B5:D5"/>
  </mergeCells>
  <pageMargins left="0.9055118110236221" right="0.70866141732283472" top="0.74803149606299213" bottom="0.74803149606299213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82"/>
  <sheetViews>
    <sheetView zoomScaleNormal="100" workbookViewId="0">
      <selection activeCell="R10" sqref="R10"/>
    </sheetView>
  </sheetViews>
  <sheetFormatPr defaultColWidth="9.109375" defaultRowHeight="18" x14ac:dyDescent="0.35"/>
  <cols>
    <col min="1" max="1" width="9.44140625" style="1" customWidth="1"/>
    <col min="2" max="2" width="14.44140625" style="1" customWidth="1"/>
    <col min="3" max="3" width="31.33203125" style="1" customWidth="1"/>
    <col min="4" max="4" width="16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5.88671875" style="1" customWidth="1"/>
    <col min="18" max="18" width="19.88671875" style="1" customWidth="1"/>
    <col min="19" max="16384" width="9.109375" style="1"/>
  </cols>
  <sheetData>
    <row r="1" spans="1:18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x14ac:dyDescent="0.35">
      <c r="A3" s="101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35">
      <c r="D4" s="23"/>
      <c r="R4" s="23" t="s">
        <v>27</v>
      </c>
    </row>
    <row r="5" spans="1:18" ht="34.799999999999997" x14ac:dyDescent="0.35">
      <c r="A5" s="6">
        <v>70803</v>
      </c>
      <c r="B5" s="103" t="s">
        <v>16</v>
      </c>
      <c r="C5" s="104"/>
      <c r="D5" s="10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78" t="s">
        <v>74</v>
      </c>
      <c r="R5" s="4" t="s">
        <v>51</v>
      </c>
    </row>
    <row r="6" spans="1:18" ht="36.75" customHeight="1" x14ac:dyDescent="0.35">
      <c r="A6" s="6"/>
      <c r="B6" s="51" t="s">
        <v>69</v>
      </c>
      <c r="C6" s="52" t="s">
        <v>70</v>
      </c>
      <c r="D6" s="4">
        <v>699.7</v>
      </c>
      <c r="E6" s="4">
        <v>699.7</v>
      </c>
      <c r="F6" s="4">
        <v>699.7</v>
      </c>
      <c r="G6" s="4">
        <v>699.7</v>
      </c>
      <c r="H6" s="4">
        <v>699.7</v>
      </c>
      <c r="I6" s="4">
        <v>699.7</v>
      </c>
      <c r="J6" s="4">
        <v>699.7</v>
      </c>
      <c r="K6" s="4">
        <v>699.7</v>
      </c>
      <c r="L6" s="4">
        <v>699.7</v>
      </c>
      <c r="M6" s="4">
        <v>699.7</v>
      </c>
      <c r="N6" s="4">
        <v>699.7</v>
      </c>
      <c r="O6" s="4">
        <v>699.7</v>
      </c>
      <c r="P6" s="4">
        <v>699.7</v>
      </c>
      <c r="Q6" s="4">
        <f>727.4+160</f>
        <v>887.4</v>
      </c>
      <c r="R6" s="4">
        <f>510.6+118.2</f>
        <v>628.80000000000007</v>
      </c>
    </row>
    <row r="7" spans="1:18" ht="36" x14ac:dyDescent="0.35">
      <c r="A7" s="16"/>
      <c r="B7" s="3">
        <v>2210</v>
      </c>
      <c r="C7" s="24" t="s">
        <v>36</v>
      </c>
      <c r="D7" s="4">
        <f t="shared" ref="D7:D9" si="0">SUM(E7:P7)</f>
        <v>2.8</v>
      </c>
      <c r="E7" s="7"/>
      <c r="F7" s="7">
        <v>0.5</v>
      </c>
      <c r="G7" s="7">
        <v>0.5</v>
      </c>
      <c r="H7" s="7">
        <v>0.5</v>
      </c>
      <c r="I7" s="7">
        <v>0.5</v>
      </c>
      <c r="J7" s="7"/>
      <c r="K7" s="7"/>
      <c r="L7" s="7"/>
      <c r="M7" s="7">
        <v>0.8</v>
      </c>
      <c r="N7" s="7"/>
      <c r="O7" s="7"/>
      <c r="P7" s="7"/>
      <c r="Q7" s="4">
        <v>17.899999999999999</v>
      </c>
      <c r="R7" s="4">
        <v>16.899999999999999</v>
      </c>
    </row>
    <row r="8" spans="1:18" ht="36" x14ac:dyDescent="0.35">
      <c r="A8" s="16"/>
      <c r="B8" s="3">
        <v>2240</v>
      </c>
      <c r="C8" s="24" t="s">
        <v>33</v>
      </c>
      <c r="D8" s="4">
        <f t="shared" si="0"/>
        <v>6.4</v>
      </c>
      <c r="E8" s="7"/>
      <c r="F8" s="7">
        <v>1.2</v>
      </c>
      <c r="G8" s="7">
        <v>0.5</v>
      </c>
      <c r="H8" s="7">
        <v>1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0.2</v>
      </c>
      <c r="Q8" s="4">
        <v>17.100000000000001</v>
      </c>
      <c r="R8" s="4">
        <v>14.2</v>
      </c>
    </row>
    <row r="9" spans="1:18" ht="36" x14ac:dyDescent="0.35">
      <c r="A9" s="16"/>
      <c r="B9" s="3">
        <v>2250</v>
      </c>
      <c r="C9" s="24" t="s">
        <v>34</v>
      </c>
      <c r="D9" s="4">
        <f t="shared" si="0"/>
        <v>5</v>
      </c>
      <c r="E9" s="7"/>
      <c r="F9" s="7"/>
      <c r="G9" s="7"/>
      <c r="H9" s="7">
        <v>1</v>
      </c>
      <c r="I9" s="7">
        <v>2</v>
      </c>
      <c r="J9" s="7">
        <v>0.5</v>
      </c>
      <c r="K9" s="7">
        <v>0.5</v>
      </c>
      <c r="L9" s="7"/>
      <c r="M9" s="7">
        <v>0.5</v>
      </c>
      <c r="N9" s="7">
        <v>0.5</v>
      </c>
      <c r="O9" s="7"/>
      <c r="P9" s="7"/>
      <c r="Q9" s="4">
        <v>5</v>
      </c>
      <c r="R9" s="4">
        <v>4</v>
      </c>
    </row>
    <row r="10" spans="1:18" ht="18.75" x14ac:dyDescent="0.3">
      <c r="A10" s="16"/>
      <c r="B10" s="3"/>
      <c r="C10" s="25"/>
      <c r="D10" s="9">
        <f>SUM(D6:D9)</f>
        <v>713.9</v>
      </c>
      <c r="E10" s="9">
        <f t="shared" ref="E10:Q10" si="1">SUM(E6:E9)</f>
        <v>699.7</v>
      </c>
      <c r="F10" s="9">
        <f t="shared" si="1"/>
        <v>701.40000000000009</v>
      </c>
      <c r="G10" s="9">
        <f t="shared" si="1"/>
        <v>700.7</v>
      </c>
      <c r="H10" s="9">
        <f t="shared" si="1"/>
        <v>702.2</v>
      </c>
      <c r="I10" s="9">
        <f t="shared" si="1"/>
        <v>702.7</v>
      </c>
      <c r="J10" s="9">
        <f t="shared" si="1"/>
        <v>700.7</v>
      </c>
      <c r="K10" s="9">
        <f t="shared" si="1"/>
        <v>700.7</v>
      </c>
      <c r="L10" s="9">
        <f t="shared" si="1"/>
        <v>700.2</v>
      </c>
      <c r="M10" s="9">
        <f t="shared" si="1"/>
        <v>701.5</v>
      </c>
      <c r="N10" s="9">
        <f t="shared" si="1"/>
        <v>700.7</v>
      </c>
      <c r="O10" s="9">
        <f t="shared" si="1"/>
        <v>700.2</v>
      </c>
      <c r="P10" s="9">
        <f t="shared" si="1"/>
        <v>699.90000000000009</v>
      </c>
      <c r="Q10" s="9">
        <f t="shared" si="1"/>
        <v>927.4</v>
      </c>
      <c r="R10" s="64">
        <f t="shared" ref="R10" si="2">SUM(R6:R9)</f>
        <v>663.90000000000009</v>
      </c>
    </row>
    <row r="11" spans="1:18" ht="18.75" x14ac:dyDescent="0.3">
      <c r="B11" s="50"/>
      <c r="C11" s="50"/>
      <c r="D11" s="50"/>
    </row>
    <row r="12" spans="1:18" ht="18.75" x14ac:dyDescent="0.3">
      <c r="B12" s="50"/>
      <c r="C12" s="50"/>
      <c r="D12" s="50"/>
    </row>
    <row r="13" spans="1:18" ht="18.75" x14ac:dyDescent="0.3">
      <c r="B13" s="50"/>
      <c r="C13" s="50"/>
      <c r="D13" s="50"/>
    </row>
    <row r="14" spans="1:18" x14ac:dyDescent="0.35">
      <c r="B14" s="50"/>
      <c r="C14" s="50"/>
      <c r="D14" s="50"/>
    </row>
    <row r="15" spans="1:18" x14ac:dyDescent="0.35">
      <c r="B15" s="50"/>
      <c r="C15" s="50"/>
      <c r="D15" s="50"/>
    </row>
    <row r="16" spans="1:18" x14ac:dyDescent="0.35">
      <c r="B16" s="50"/>
      <c r="C16" s="50"/>
      <c r="D16" s="50"/>
    </row>
    <row r="17" spans="2:4" x14ac:dyDescent="0.35">
      <c r="B17" s="50"/>
      <c r="C17" s="50"/>
      <c r="D17" s="50"/>
    </row>
    <row r="18" spans="2:4" x14ac:dyDescent="0.35">
      <c r="B18" s="50"/>
      <c r="C18" s="50"/>
      <c r="D18" s="50"/>
    </row>
    <row r="19" spans="2:4" x14ac:dyDescent="0.35">
      <c r="B19" s="50"/>
      <c r="C19" s="50"/>
      <c r="D19" s="50"/>
    </row>
    <row r="20" spans="2:4" x14ac:dyDescent="0.35">
      <c r="B20" s="50"/>
      <c r="C20" s="50"/>
      <c r="D20" s="50"/>
    </row>
    <row r="21" spans="2:4" x14ac:dyDescent="0.35">
      <c r="B21" s="50"/>
      <c r="C21" s="50"/>
      <c r="D21" s="50"/>
    </row>
    <row r="22" spans="2:4" x14ac:dyDescent="0.35">
      <c r="B22" s="50"/>
      <c r="C22" s="50"/>
      <c r="D22" s="50"/>
    </row>
    <row r="23" spans="2:4" x14ac:dyDescent="0.35">
      <c r="B23" s="50"/>
      <c r="C23" s="50"/>
      <c r="D23" s="50"/>
    </row>
    <row r="24" spans="2:4" x14ac:dyDescent="0.35">
      <c r="B24" s="50"/>
      <c r="C24" s="50"/>
      <c r="D24" s="50"/>
    </row>
    <row r="25" spans="2:4" x14ac:dyDescent="0.35">
      <c r="B25" s="50"/>
      <c r="C25" s="50"/>
      <c r="D25" s="50"/>
    </row>
    <row r="26" spans="2:4" x14ac:dyDescent="0.35">
      <c r="B26" s="50"/>
      <c r="C26" s="50"/>
      <c r="D26" s="50"/>
    </row>
    <row r="27" spans="2:4" x14ac:dyDescent="0.35">
      <c r="B27" s="50"/>
      <c r="C27" s="50"/>
      <c r="D27" s="50"/>
    </row>
    <row r="28" spans="2:4" x14ac:dyDescent="0.35">
      <c r="B28" s="50"/>
      <c r="C28" s="50"/>
      <c r="D28" s="50"/>
    </row>
    <row r="29" spans="2:4" x14ac:dyDescent="0.35">
      <c r="B29" s="50"/>
      <c r="C29" s="50"/>
      <c r="D29" s="50"/>
    </row>
    <row r="30" spans="2:4" x14ac:dyDescent="0.35">
      <c r="B30" s="50"/>
      <c r="C30" s="50"/>
      <c r="D30" s="50"/>
    </row>
    <row r="31" spans="2:4" x14ac:dyDescent="0.35">
      <c r="B31" s="50"/>
      <c r="C31" s="50"/>
      <c r="D31" s="50"/>
    </row>
    <row r="32" spans="2:4" x14ac:dyDescent="0.35">
      <c r="B32" s="50"/>
      <c r="C32" s="50"/>
      <c r="D32" s="50"/>
    </row>
    <row r="33" spans="2:4" x14ac:dyDescent="0.35">
      <c r="B33" s="50"/>
      <c r="C33" s="50"/>
      <c r="D33" s="50"/>
    </row>
    <row r="34" spans="2:4" x14ac:dyDescent="0.35">
      <c r="B34" s="50"/>
      <c r="C34" s="50"/>
      <c r="D34" s="50"/>
    </row>
    <row r="35" spans="2:4" x14ac:dyDescent="0.35">
      <c r="B35" s="50"/>
      <c r="C35" s="50"/>
      <c r="D35" s="50"/>
    </row>
    <row r="36" spans="2:4" x14ac:dyDescent="0.35">
      <c r="B36" s="50"/>
      <c r="C36" s="50"/>
      <c r="D36" s="50"/>
    </row>
    <row r="37" spans="2:4" x14ac:dyDescent="0.35">
      <c r="B37" s="50"/>
      <c r="C37" s="50"/>
      <c r="D37" s="50"/>
    </row>
    <row r="38" spans="2:4" x14ac:dyDescent="0.35">
      <c r="B38" s="50"/>
      <c r="C38" s="50"/>
      <c r="D38" s="50"/>
    </row>
    <row r="39" spans="2:4" x14ac:dyDescent="0.35">
      <c r="B39" s="50"/>
      <c r="C39" s="50"/>
      <c r="D39" s="50"/>
    </row>
    <row r="40" spans="2:4" x14ac:dyDescent="0.35">
      <c r="B40" s="50"/>
      <c r="C40" s="50"/>
      <c r="D40" s="50"/>
    </row>
    <row r="41" spans="2:4" x14ac:dyDescent="0.35">
      <c r="B41" s="50"/>
      <c r="C41" s="50"/>
      <c r="D41" s="50"/>
    </row>
    <row r="42" spans="2:4" x14ac:dyDescent="0.35">
      <c r="B42" s="50"/>
      <c r="C42" s="50"/>
      <c r="D42" s="50"/>
    </row>
    <row r="43" spans="2:4" x14ac:dyDescent="0.35">
      <c r="B43" s="50"/>
      <c r="C43" s="50"/>
      <c r="D43" s="50"/>
    </row>
    <row r="44" spans="2:4" x14ac:dyDescent="0.35">
      <c r="B44" s="50"/>
      <c r="C44" s="50"/>
      <c r="D44" s="50"/>
    </row>
    <row r="45" spans="2:4" x14ac:dyDescent="0.35">
      <c r="B45" s="50"/>
      <c r="C45" s="50"/>
      <c r="D45" s="50"/>
    </row>
    <row r="46" spans="2:4" x14ac:dyDescent="0.35">
      <c r="B46" s="50"/>
      <c r="C46" s="50"/>
      <c r="D46" s="50"/>
    </row>
    <row r="47" spans="2:4" x14ac:dyDescent="0.35">
      <c r="B47" s="50"/>
      <c r="C47" s="50"/>
      <c r="D47" s="50"/>
    </row>
    <row r="48" spans="2:4" x14ac:dyDescent="0.35">
      <c r="B48" s="50"/>
      <c r="C48" s="50"/>
      <c r="D48" s="50"/>
    </row>
    <row r="49" spans="2:4" x14ac:dyDescent="0.35">
      <c r="B49" s="50"/>
      <c r="C49" s="50"/>
      <c r="D49" s="50"/>
    </row>
    <row r="50" spans="2:4" x14ac:dyDescent="0.35">
      <c r="B50" s="50"/>
      <c r="C50" s="50"/>
      <c r="D50" s="50"/>
    </row>
    <row r="51" spans="2:4" x14ac:dyDescent="0.35">
      <c r="B51" s="50"/>
      <c r="C51" s="50"/>
      <c r="D51" s="50"/>
    </row>
    <row r="52" spans="2:4" x14ac:dyDescent="0.35">
      <c r="B52" s="50"/>
      <c r="C52" s="50"/>
      <c r="D52" s="50"/>
    </row>
    <row r="53" spans="2:4" x14ac:dyDescent="0.35">
      <c r="B53" s="50"/>
      <c r="C53" s="50"/>
      <c r="D53" s="50"/>
    </row>
    <row r="54" spans="2:4" x14ac:dyDescent="0.35">
      <c r="B54" s="50"/>
      <c r="C54" s="50"/>
      <c r="D54" s="50"/>
    </row>
    <row r="55" spans="2:4" x14ac:dyDescent="0.35">
      <c r="B55" s="50"/>
      <c r="C55" s="50"/>
      <c r="D55" s="50"/>
    </row>
    <row r="56" spans="2:4" x14ac:dyDescent="0.35">
      <c r="B56" s="50"/>
      <c r="C56" s="50"/>
      <c r="D56" s="50"/>
    </row>
    <row r="57" spans="2:4" x14ac:dyDescent="0.35">
      <c r="B57" s="50"/>
      <c r="C57" s="50"/>
      <c r="D57" s="50"/>
    </row>
    <row r="58" spans="2:4" x14ac:dyDescent="0.35">
      <c r="B58" s="50"/>
      <c r="C58" s="50"/>
      <c r="D58" s="50"/>
    </row>
    <row r="59" spans="2:4" x14ac:dyDescent="0.35">
      <c r="B59" s="50"/>
      <c r="C59" s="50"/>
      <c r="D59" s="50"/>
    </row>
    <row r="60" spans="2:4" x14ac:dyDescent="0.35">
      <c r="B60" s="50"/>
      <c r="C60" s="50"/>
      <c r="D60" s="50"/>
    </row>
    <row r="61" spans="2:4" x14ac:dyDescent="0.35">
      <c r="B61" s="50"/>
      <c r="C61" s="50"/>
      <c r="D61" s="50"/>
    </row>
    <row r="62" spans="2:4" x14ac:dyDescent="0.35">
      <c r="B62" s="50"/>
      <c r="C62" s="50"/>
      <c r="D62" s="50"/>
    </row>
    <row r="63" spans="2:4" x14ac:dyDescent="0.35">
      <c r="B63" s="50"/>
      <c r="C63" s="50"/>
      <c r="D63" s="50"/>
    </row>
    <row r="64" spans="2:4" x14ac:dyDescent="0.35">
      <c r="B64" s="50"/>
      <c r="C64" s="50"/>
      <c r="D64" s="50"/>
    </row>
    <row r="65" spans="2:4" x14ac:dyDescent="0.35">
      <c r="B65" s="50"/>
      <c r="C65" s="50"/>
      <c r="D65" s="50"/>
    </row>
    <row r="66" spans="2:4" x14ac:dyDescent="0.35">
      <c r="B66" s="50"/>
      <c r="C66" s="50"/>
      <c r="D66" s="50"/>
    </row>
    <row r="67" spans="2:4" x14ac:dyDescent="0.35">
      <c r="B67" s="50"/>
      <c r="C67" s="50"/>
      <c r="D67" s="50"/>
    </row>
    <row r="68" spans="2:4" x14ac:dyDescent="0.35">
      <c r="B68" s="50"/>
      <c r="C68" s="50"/>
      <c r="D68" s="50"/>
    </row>
    <row r="69" spans="2:4" x14ac:dyDescent="0.35">
      <c r="B69" s="50"/>
      <c r="C69" s="50"/>
      <c r="D69" s="50"/>
    </row>
    <row r="70" spans="2:4" x14ac:dyDescent="0.35">
      <c r="B70" s="50"/>
      <c r="C70" s="50"/>
      <c r="D70" s="50"/>
    </row>
    <row r="71" spans="2:4" x14ac:dyDescent="0.35">
      <c r="B71" s="50"/>
      <c r="C71" s="50"/>
      <c r="D71" s="50"/>
    </row>
    <row r="72" spans="2:4" x14ac:dyDescent="0.35">
      <c r="B72" s="50"/>
      <c r="C72" s="50"/>
      <c r="D72" s="50"/>
    </row>
    <row r="73" spans="2:4" x14ac:dyDescent="0.35">
      <c r="B73" s="50"/>
      <c r="C73" s="50"/>
      <c r="D73" s="50"/>
    </row>
    <row r="74" spans="2:4" x14ac:dyDescent="0.35">
      <c r="B74" s="50"/>
      <c r="C74" s="50"/>
      <c r="D74" s="50"/>
    </row>
    <row r="75" spans="2:4" x14ac:dyDescent="0.35">
      <c r="B75" s="50"/>
      <c r="C75" s="50"/>
      <c r="D75" s="50"/>
    </row>
    <row r="76" spans="2:4" x14ac:dyDescent="0.35">
      <c r="B76" s="50"/>
      <c r="C76" s="50"/>
      <c r="D76" s="50"/>
    </row>
    <row r="77" spans="2:4" x14ac:dyDescent="0.35">
      <c r="B77" s="50"/>
      <c r="C77" s="50"/>
      <c r="D77" s="50"/>
    </row>
    <row r="78" spans="2:4" x14ac:dyDescent="0.35">
      <c r="B78" s="50"/>
      <c r="C78" s="50"/>
      <c r="D78" s="50"/>
    </row>
    <row r="79" spans="2:4" x14ac:dyDescent="0.35">
      <c r="B79" s="50"/>
      <c r="C79" s="50"/>
      <c r="D79" s="50"/>
    </row>
    <row r="80" spans="2:4" x14ac:dyDescent="0.35">
      <c r="B80" s="50"/>
      <c r="C80" s="50"/>
      <c r="D80" s="50"/>
    </row>
    <row r="81" spans="1:20" x14ac:dyDescent="0.35">
      <c r="B81" s="50"/>
      <c r="C81" s="50"/>
      <c r="D81" s="50"/>
    </row>
    <row r="82" spans="1:20" s="2" customFormat="1" x14ac:dyDescent="0.35">
      <c r="A82" s="1"/>
      <c r="B82" s="50"/>
      <c r="C82" s="5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</sheetData>
  <mergeCells count="4">
    <mergeCell ref="B5:D5"/>
    <mergeCell ref="A1:R1"/>
    <mergeCell ref="A2:R2"/>
    <mergeCell ref="A3:R3"/>
  </mergeCells>
  <pageMargins left="0.9055118110236221" right="0.70866141732283472" top="0.74803149606299213" bottom="0.74803149606299213" header="0.31496062992125984" footer="0.31496062992125984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82"/>
  <sheetViews>
    <sheetView zoomScaleNormal="100" workbookViewId="0">
      <selection activeCell="Q13" sqref="Q13"/>
    </sheetView>
  </sheetViews>
  <sheetFormatPr defaultColWidth="9.109375" defaultRowHeight="18" x14ac:dyDescent="0.35"/>
  <cols>
    <col min="1" max="1" width="9.44140625" style="1" customWidth="1"/>
    <col min="2" max="2" width="17" style="1" customWidth="1"/>
    <col min="3" max="3" width="31.33203125" style="1" customWidth="1"/>
    <col min="4" max="4" width="0.109375" style="2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9.44140625" style="1" customWidth="1"/>
    <col min="18" max="18" width="19.88671875" style="1" customWidth="1"/>
    <col min="19" max="16384" width="9.109375" style="1"/>
  </cols>
  <sheetData>
    <row r="1" spans="1:18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x14ac:dyDescent="0.35">
      <c r="A3" s="101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35">
      <c r="D4" s="23"/>
      <c r="R4" s="23" t="s">
        <v>27</v>
      </c>
    </row>
    <row r="5" spans="1:18" ht="38.25" customHeight="1" x14ac:dyDescent="0.35">
      <c r="A5" s="3" t="s">
        <v>0</v>
      </c>
      <c r="B5" s="3" t="s">
        <v>1</v>
      </c>
      <c r="C5" s="3" t="s">
        <v>32</v>
      </c>
      <c r="D5" s="31" t="s">
        <v>38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74</v>
      </c>
      <c r="R5" s="16" t="s">
        <v>51</v>
      </c>
    </row>
    <row r="6" spans="1:18" ht="36.75" customHeight="1" x14ac:dyDescent="0.35">
      <c r="A6" s="6">
        <v>70804</v>
      </c>
      <c r="B6" s="103" t="s">
        <v>30</v>
      </c>
      <c r="C6" s="104"/>
      <c r="D6" s="10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9"/>
      <c r="R6" s="4"/>
    </row>
    <row r="7" spans="1:18" ht="36" x14ac:dyDescent="0.35">
      <c r="A7" s="6"/>
      <c r="B7" s="51" t="s">
        <v>69</v>
      </c>
      <c r="C7" s="52" t="s">
        <v>70</v>
      </c>
      <c r="D7" s="4">
        <v>549.70000000000005</v>
      </c>
      <c r="E7" s="4">
        <v>549.70000000000005</v>
      </c>
      <c r="F7" s="4">
        <v>549.70000000000005</v>
      </c>
      <c r="G7" s="4">
        <v>549.70000000000005</v>
      </c>
      <c r="H7" s="4">
        <v>549.70000000000005</v>
      </c>
      <c r="I7" s="4">
        <v>549.70000000000005</v>
      </c>
      <c r="J7" s="4">
        <v>549.70000000000005</v>
      </c>
      <c r="K7" s="4">
        <v>549.70000000000005</v>
      </c>
      <c r="L7" s="4">
        <v>549.70000000000005</v>
      </c>
      <c r="M7" s="4">
        <v>549.70000000000005</v>
      </c>
      <c r="N7" s="4">
        <v>549.70000000000005</v>
      </c>
      <c r="O7" s="4">
        <v>549.70000000000005</v>
      </c>
      <c r="P7" s="4">
        <v>549.70000000000005</v>
      </c>
      <c r="Q7" s="4">
        <f>585.2+128.7</f>
        <v>713.90000000000009</v>
      </c>
      <c r="R7" s="4">
        <f>413.8+92.1</f>
        <v>505.9</v>
      </c>
    </row>
    <row r="8" spans="1:18" ht="36" x14ac:dyDescent="0.35">
      <c r="A8" s="16"/>
      <c r="B8" s="3">
        <v>2210</v>
      </c>
      <c r="C8" s="24" t="s">
        <v>36</v>
      </c>
      <c r="D8" s="4">
        <f t="shared" ref="D8:D9" si="0">SUM(E8:P8)</f>
        <v>12.8</v>
      </c>
      <c r="E8" s="16"/>
      <c r="F8" s="16">
        <v>0.9</v>
      </c>
      <c r="G8" s="16">
        <v>0.5</v>
      </c>
      <c r="H8" s="7">
        <v>2</v>
      </c>
      <c r="I8" s="7">
        <v>2</v>
      </c>
      <c r="J8" s="7">
        <v>2</v>
      </c>
      <c r="K8" s="7"/>
      <c r="L8" s="7">
        <v>2</v>
      </c>
      <c r="M8" s="7">
        <v>2</v>
      </c>
      <c r="N8" s="16">
        <v>1.4</v>
      </c>
      <c r="O8" s="16"/>
      <c r="P8" s="16"/>
      <c r="Q8" s="3">
        <v>14.3</v>
      </c>
      <c r="R8" s="4">
        <v>2.2999999999999998</v>
      </c>
    </row>
    <row r="9" spans="1:18" ht="36" x14ac:dyDescent="0.35">
      <c r="A9" s="16"/>
      <c r="B9" s="3">
        <v>2240</v>
      </c>
      <c r="C9" s="24" t="s">
        <v>33</v>
      </c>
      <c r="D9" s="4">
        <f t="shared" si="0"/>
        <v>15.4</v>
      </c>
      <c r="E9" s="16"/>
      <c r="F9" s="16">
        <v>0.5</v>
      </c>
      <c r="G9" s="16">
        <v>0.5</v>
      </c>
      <c r="H9" s="7">
        <v>2</v>
      </c>
      <c r="I9" s="7">
        <v>2</v>
      </c>
      <c r="J9" s="7">
        <v>2</v>
      </c>
      <c r="K9" s="7">
        <v>1</v>
      </c>
      <c r="L9" s="7">
        <v>2</v>
      </c>
      <c r="M9" s="7">
        <v>2</v>
      </c>
      <c r="N9" s="7">
        <v>1.4</v>
      </c>
      <c r="O9" s="7">
        <v>1</v>
      </c>
      <c r="P9" s="7">
        <v>1</v>
      </c>
      <c r="Q9" s="4">
        <v>17.2</v>
      </c>
      <c r="R9" s="4">
        <v>4</v>
      </c>
    </row>
    <row r="10" spans="1:18" ht="18.75" x14ac:dyDescent="0.3">
      <c r="A10" s="16"/>
      <c r="B10" s="3"/>
      <c r="C10" s="3"/>
      <c r="D10" s="9">
        <f>SUM(D7:D9)</f>
        <v>577.9</v>
      </c>
      <c r="E10" s="9">
        <f t="shared" ref="E10:Q10" si="1">SUM(E7:E9)</f>
        <v>549.70000000000005</v>
      </c>
      <c r="F10" s="9">
        <f t="shared" si="1"/>
        <v>551.1</v>
      </c>
      <c r="G10" s="9">
        <f t="shared" si="1"/>
        <v>550.70000000000005</v>
      </c>
      <c r="H10" s="9">
        <f t="shared" si="1"/>
        <v>553.70000000000005</v>
      </c>
      <c r="I10" s="9">
        <f t="shared" si="1"/>
        <v>553.70000000000005</v>
      </c>
      <c r="J10" s="9">
        <f t="shared" si="1"/>
        <v>553.70000000000005</v>
      </c>
      <c r="K10" s="9">
        <f t="shared" si="1"/>
        <v>550.70000000000005</v>
      </c>
      <c r="L10" s="9">
        <f t="shared" si="1"/>
        <v>553.70000000000005</v>
      </c>
      <c r="M10" s="9">
        <f t="shared" si="1"/>
        <v>553.70000000000005</v>
      </c>
      <c r="N10" s="9">
        <f t="shared" si="1"/>
        <v>552.5</v>
      </c>
      <c r="O10" s="9">
        <f t="shared" si="1"/>
        <v>550.70000000000005</v>
      </c>
      <c r="P10" s="9">
        <f t="shared" si="1"/>
        <v>550.70000000000005</v>
      </c>
      <c r="Q10" s="9">
        <f t="shared" si="1"/>
        <v>745.40000000000009</v>
      </c>
      <c r="R10" s="64">
        <f t="shared" ref="R10" si="2">SUM(R7:R9)</f>
        <v>512.20000000000005</v>
      </c>
    </row>
    <row r="11" spans="1:18" ht="18.75" x14ac:dyDescent="0.3">
      <c r="B11" s="50"/>
      <c r="C11" s="50"/>
      <c r="D11" s="50"/>
    </row>
    <row r="12" spans="1:18" ht="18.75" x14ac:dyDescent="0.3">
      <c r="B12" s="50"/>
      <c r="C12" s="50"/>
      <c r="D12" s="50"/>
    </row>
    <row r="13" spans="1:18" ht="18.75" x14ac:dyDescent="0.3">
      <c r="B13" s="50"/>
      <c r="C13" s="50"/>
      <c r="D13" s="50"/>
    </row>
    <row r="14" spans="1:18" x14ac:dyDescent="0.35">
      <c r="B14" s="50"/>
      <c r="C14" s="50"/>
      <c r="D14" s="50"/>
    </row>
    <row r="15" spans="1:18" x14ac:dyDescent="0.35">
      <c r="B15" s="50"/>
      <c r="C15" s="50"/>
      <c r="D15" s="50"/>
    </row>
    <row r="16" spans="1:18" x14ac:dyDescent="0.35">
      <c r="B16" s="50"/>
      <c r="C16" s="50"/>
      <c r="D16" s="50"/>
    </row>
    <row r="17" spans="2:4" x14ac:dyDescent="0.35">
      <c r="B17" s="50"/>
      <c r="C17" s="50"/>
      <c r="D17" s="50"/>
    </row>
    <row r="18" spans="2:4" x14ac:dyDescent="0.35">
      <c r="B18" s="50"/>
      <c r="C18" s="50"/>
      <c r="D18" s="50"/>
    </row>
    <row r="19" spans="2:4" x14ac:dyDescent="0.35">
      <c r="B19" s="50"/>
      <c r="C19" s="50"/>
      <c r="D19" s="50"/>
    </row>
    <row r="20" spans="2:4" x14ac:dyDescent="0.35">
      <c r="B20" s="50"/>
      <c r="C20" s="50"/>
      <c r="D20" s="50"/>
    </row>
    <row r="21" spans="2:4" x14ac:dyDescent="0.35">
      <c r="B21" s="50"/>
      <c r="C21" s="50"/>
      <c r="D21" s="50"/>
    </row>
    <row r="22" spans="2:4" x14ac:dyDescent="0.35">
      <c r="B22" s="50"/>
      <c r="C22" s="50"/>
      <c r="D22" s="50"/>
    </row>
    <row r="23" spans="2:4" x14ac:dyDescent="0.35">
      <c r="B23" s="50"/>
      <c r="C23" s="50"/>
      <c r="D23" s="50"/>
    </row>
    <row r="24" spans="2:4" x14ac:dyDescent="0.35">
      <c r="B24" s="50"/>
      <c r="C24" s="50"/>
      <c r="D24" s="50"/>
    </row>
    <row r="25" spans="2:4" x14ac:dyDescent="0.35">
      <c r="B25" s="50"/>
      <c r="C25" s="50"/>
      <c r="D25" s="50"/>
    </row>
    <row r="26" spans="2:4" x14ac:dyDescent="0.35">
      <c r="B26" s="50"/>
      <c r="C26" s="50"/>
      <c r="D26" s="50"/>
    </row>
    <row r="27" spans="2:4" x14ac:dyDescent="0.35">
      <c r="B27" s="50"/>
      <c r="C27" s="50"/>
      <c r="D27" s="50"/>
    </row>
    <row r="28" spans="2:4" x14ac:dyDescent="0.35">
      <c r="B28" s="50"/>
      <c r="C28" s="50"/>
      <c r="D28" s="50"/>
    </row>
    <row r="29" spans="2:4" x14ac:dyDescent="0.35">
      <c r="B29" s="50"/>
      <c r="C29" s="50"/>
      <c r="D29" s="50"/>
    </row>
    <row r="30" spans="2:4" x14ac:dyDescent="0.35">
      <c r="B30" s="50"/>
      <c r="C30" s="50"/>
      <c r="D30" s="50"/>
    </row>
    <row r="31" spans="2:4" x14ac:dyDescent="0.35">
      <c r="B31" s="50"/>
      <c r="C31" s="50"/>
      <c r="D31" s="50"/>
    </row>
    <row r="32" spans="2:4" x14ac:dyDescent="0.35">
      <c r="B32" s="50"/>
      <c r="C32" s="50"/>
      <c r="D32" s="50"/>
    </row>
    <row r="33" spans="2:4" x14ac:dyDescent="0.35">
      <c r="B33" s="50"/>
      <c r="C33" s="50"/>
      <c r="D33" s="50"/>
    </row>
    <row r="34" spans="2:4" x14ac:dyDescent="0.35">
      <c r="B34" s="50"/>
      <c r="C34" s="50"/>
      <c r="D34" s="50"/>
    </row>
    <row r="35" spans="2:4" x14ac:dyDescent="0.35">
      <c r="B35" s="50"/>
      <c r="C35" s="50"/>
      <c r="D35" s="50"/>
    </row>
    <row r="36" spans="2:4" x14ac:dyDescent="0.35">
      <c r="B36" s="50"/>
      <c r="C36" s="50"/>
      <c r="D36" s="50"/>
    </row>
    <row r="37" spans="2:4" x14ac:dyDescent="0.35">
      <c r="B37" s="50"/>
      <c r="C37" s="50"/>
      <c r="D37" s="50"/>
    </row>
    <row r="38" spans="2:4" x14ac:dyDescent="0.35">
      <c r="B38" s="50"/>
      <c r="C38" s="50"/>
      <c r="D38" s="50"/>
    </row>
    <row r="39" spans="2:4" x14ac:dyDescent="0.35">
      <c r="B39" s="50"/>
      <c r="C39" s="50"/>
      <c r="D39" s="50"/>
    </row>
    <row r="40" spans="2:4" x14ac:dyDescent="0.35">
      <c r="B40" s="50"/>
      <c r="C40" s="50"/>
      <c r="D40" s="50"/>
    </row>
    <row r="41" spans="2:4" x14ac:dyDescent="0.35">
      <c r="B41" s="50"/>
      <c r="C41" s="50"/>
      <c r="D41" s="50"/>
    </row>
    <row r="42" spans="2:4" x14ac:dyDescent="0.35">
      <c r="B42" s="50"/>
      <c r="C42" s="50"/>
      <c r="D42" s="50"/>
    </row>
    <row r="43" spans="2:4" x14ac:dyDescent="0.35">
      <c r="B43" s="50"/>
      <c r="C43" s="50"/>
      <c r="D43" s="50"/>
    </row>
    <row r="44" spans="2:4" x14ac:dyDescent="0.35">
      <c r="B44" s="50"/>
      <c r="C44" s="50"/>
      <c r="D44" s="50"/>
    </row>
    <row r="45" spans="2:4" x14ac:dyDescent="0.35">
      <c r="B45" s="50"/>
      <c r="C45" s="50"/>
      <c r="D45" s="50"/>
    </row>
    <row r="46" spans="2:4" x14ac:dyDescent="0.35">
      <c r="B46" s="50"/>
      <c r="C46" s="50"/>
      <c r="D46" s="50"/>
    </row>
    <row r="47" spans="2:4" x14ac:dyDescent="0.35">
      <c r="B47" s="50"/>
      <c r="C47" s="50"/>
      <c r="D47" s="50"/>
    </row>
    <row r="48" spans="2:4" x14ac:dyDescent="0.35">
      <c r="B48" s="50"/>
      <c r="C48" s="50"/>
      <c r="D48" s="50"/>
    </row>
    <row r="49" spans="2:4" x14ac:dyDescent="0.35">
      <c r="B49" s="50"/>
      <c r="C49" s="50"/>
      <c r="D49" s="50"/>
    </row>
    <row r="50" spans="2:4" x14ac:dyDescent="0.35">
      <c r="B50" s="50"/>
      <c r="C50" s="50"/>
      <c r="D50" s="50"/>
    </row>
    <row r="51" spans="2:4" x14ac:dyDescent="0.35">
      <c r="B51" s="50"/>
      <c r="C51" s="50"/>
      <c r="D51" s="50"/>
    </row>
    <row r="52" spans="2:4" x14ac:dyDescent="0.35">
      <c r="B52" s="50"/>
      <c r="C52" s="50"/>
      <c r="D52" s="50"/>
    </row>
    <row r="53" spans="2:4" x14ac:dyDescent="0.35">
      <c r="B53" s="50"/>
      <c r="C53" s="50"/>
      <c r="D53" s="50"/>
    </row>
    <row r="54" spans="2:4" x14ac:dyDescent="0.35">
      <c r="B54" s="50"/>
      <c r="C54" s="50"/>
      <c r="D54" s="50"/>
    </row>
    <row r="55" spans="2:4" x14ac:dyDescent="0.35">
      <c r="B55" s="50"/>
      <c r="C55" s="50"/>
      <c r="D55" s="50"/>
    </row>
    <row r="56" spans="2:4" x14ac:dyDescent="0.35">
      <c r="B56" s="50"/>
      <c r="C56" s="50"/>
      <c r="D56" s="50"/>
    </row>
    <row r="57" spans="2:4" x14ac:dyDescent="0.35">
      <c r="B57" s="50"/>
      <c r="C57" s="50"/>
      <c r="D57" s="50"/>
    </row>
    <row r="58" spans="2:4" x14ac:dyDescent="0.35">
      <c r="B58" s="50"/>
      <c r="C58" s="50"/>
      <c r="D58" s="50"/>
    </row>
    <row r="59" spans="2:4" x14ac:dyDescent="0.35">
      <c r="B59" s="50"/>
      <c r="C59" s="50"/>
      <c r="D59" s="50"/>
    </row>
    <row r="60" spans="2:4" x14ac:dyDescent="0.35">
      <c r="B60" s="50"/>
      <c r="C60" s="50"/>
      <c r="D60" s="50"/>
    </row>
    <row r="61" spans="2:4" x14ac:dyDescent="0.35">
      <c r="B61" s="50"/>
      <c r="C61" s="50"/>
      <c r="D61" s="50"/>
    </row>
    <row r="62" spans="2:4" x14ac:dyDescent="0.35">
      <c r="B62" s="50"/>
      <c r="C62" s="50"/>
      <c r="D62" s="50"/>
    </row>
    <row r="63" spans="2:4" x14ac:dyDescent="0.35">
      <c r="B63" s="50"/>
      <c r="C63" s="50"/>
      <c r="D63" s="50"/>
    </row>
    <row r="64" spans="2:4" x14ac:dyDescent="0.35">
      <c r="B64" s="50"/>
      <c r="C64" s="50"/>
      <c r="D64" s="50"/>
    </row>
    <row r="65" spans="2:4" x14ac:dyDescent="0.35">
      <c r="B65" s="50"/>
      <c r="C65" s="50"/>
      <c r="D65" s="50"/>
    </row>
    <row r="66" spans="2:4" x14ac:dyDescent="0.35">
      <c r="B66" s="50"/>
      <c r="C66" s="50"/>
      <c r="D66" s="50"/>
    </row>
    <row r="67" spans="2:4" x14ac:dyDescent="0.35">
      <c r="B67" s="50"/>
      <c r="C67" s="50"/>
      <c r="D67" s="50"/>
    </row>
    <row r="68" spans="2:4" x14ac:dyDescent="0.35">
      <c r="B68" s="50"/>
      <c r="C68" s="50"/>
      <c r="D68" s="50"/>
    </row>
    <row r="69" spans="2:4" x14ac:dyDescent="0.35">
      <c r="B69" s="50"/>
      <c r="C69" s="50"/>
      <c r="D69" s="50"/>
    </row>
    <row r="70" spans="2:4" x14ac:dyDescent="0.35">
      <c r="B70" s="50"/>
      <c r="C70" s="50"/>
      <c r="D70" s="50"/>
    </row>
    <row r="71" spans="2:4" x14ac:dyDescent="0.35">
      <c r="B71" s="50"/>
      <c r="C71" s="50"/>
      <c r="D71" s="50"/>
    </row>
    <row r="72" spans="2:4" x14ac:dyDescent="0.35">
      <c r="B72" s="50"/>
      <c r="C72" s="50"/>
      <c r="D72" s="50"/>
    </row>
    <row r="73" spans="2:4" x14ac:dyDescent="0.35">
      <c r="B73" s="50"/>
      <c r="C73" s="50"/>
      <c r="D73" s="50"/>
    </row>
    <row r="74" spans="2:4" x14ac:dyDescent="0.35">
      <c r="B74" s="50"/>
      <c r="C74" s="50"/>
      <c r="D74" s="50"/>
    </row>
    <row r="75" spans="2:4" x14ac:dyDescent="0.35">
      <c r="B75" s="50"/>
      <c r="C75" s="50"/>
      <c r="D75" s="50"/>
    </row>
    <row r="76" spans="2:4" x14ac:dyDescent="0.35">
      <c r="B76" s="50"/>
      <c r="C76" s="50"/>
      <c r="D76" s="50"/>
    </row>
    <row r="77" spans="2:4" x14ac:dyDescent="0.35">
      <c r="B77" s="50"/>
      <c r="C77" s="50"/>
      <c r="D77" s="50"/>
    </row>
    <row r="78" spans="2:4" x14ac:dyDescent="0.35">
      <c r="B78" s="50"/>
      <c r="C78" s="50"/>
      <c r="D78" s="50"/>
    </row>
    <row r="79" spans="2:4" x14ac:dyDescent="0.35">
      <c r="B79" s="50"/>
      <c r="C79" s="50"/>
      <c r="D79" s="50"/>
    </row>
    <row r="80" spans="2:4" x14ac:dyDescent="0.35">
      <c r="B80" s="50"/>
      <c r="C80" s="50"/>
      <c r="D80" s="50"/>
    </row>
    <row r="81" spans="1:20" x14ac:dyDescent="0.35">
      <c r="B81" s="50"/>
      <c r="C81" s="50"/>
      <c r="D81" s="50"/>
    </row>
    <row r="82" spans="1:20" s="2" customFormat="1" x14ac:dyDescent="0.35">
      <c r="A82" s="1"/>
      <c r="B82" s="50"/>
      <c r="C82" s="5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</sheetData>
  <mergeCells count="4">
    <mergeCell ref="B6:D6"/>
    <mergeCell ref="A1:R1"/>
    <mergeCell ref="A2:R2"/>
    <mergeCell ref="A3:R3"/>
  </mergeCells>
  <pageMargins left="0.9055118110236221" right="0.70866141732283472" top="0.74803149606299213" bottom="0.74803149606299213" header="0.31496062992125984" footer="0.31496062992125984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80"/>
  <sheetViews>
    <sheetView topLeftCell="A4" zoomScaleNormal="100" workbookViewId="0">
      <selection activeCell="R11" sqref="R11"/>
    </sheetView>
  </sheetViews>
  <sheetFormatPr defaultColWidth="9.109375" defaultRowHeight="18" x14ac:dyDescent="0.35"/>
  <cols>
    <col min="1" max="1" width="16.44140625" style="1" customWidth="1"/>
    <col min="2" max="2" width="7" style="1" customWidth="1"/>
    <col min="3" max="3" width="33.77734375" style="1" customWidth="1"/>
    <col min="4" max="4" width="16" style="2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6" style="1" customWidth="1"/>
    <col min="18" max="18" width="20.5546875" style="1" customWidth="1"/>
    <col min="19" max="16384" width="9.109375" style="1"/>
  </cols>
  <sheetData>
    <row r="1" spans="1:18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x14ac:dyDescent="0.35">
      <c r="A3" s="101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35">
      <c r="D4" s="23"/>
      <c r="R4" s="23" t="s">
        <v>27</v>
      </c>
    </row>
    <row r="5" spans="1:18" ht="18.75" x14ac:dyDescent="0.3">
      <c r="A5" s="6">
        <v>70807</v>
      </c>
      <c r="B5" s="16"/>
      <c r="C5" s="16"/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3"/>
    </row>
    <row r="6" spans="1:18" ht="36" x14ac:dyDescent="0.35">
      <c r="A6" s="3" t="s">
        <v>0</v>
      </c>
      <c r="B6" s="3" t="s">
        <v>1</v>
      </c>
      <c r="C6" s="3" t="s">
        <v>32</v>
      </c>
      <c r="D6" s="31" t="s">
        <v>38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6" t="s">
        <v>74</v>
      </c>
      <c r="R6" s="16" t="s">
        <v>51</v>
      </c>
    </row>
    <row r="7" spans="1:18" ht="144" x14ac:dyDescent="0.35">
      <c r="A7" s="27"/>
      <c r="B7" s="3">
        <v>2240</v>
      </c>
      <c r="C7" s="24" t="s">
        <v>78</v>
      </c>
      <c r="D7" s="4"/>
      <c r="E7" s="4">
        <v>4589</v>
      </c>
      <c r="F7" s="4">
        <v>4589</v>
      </c>
      <c r="G7" s="4">
        <v>4589</v>
      </c>
      <c r="H7" s="4">
        <v>4589</v>
      </c>
      <c r="I7" s="4">
        <v>4589</v>
      </c>
      <c r="J7" s="4">
        <v>4589</v>
      </c>
      <c r="K7" s="4">
        <v>4589</v>
      </c>
      <c r="L7" s="4">
        <v>4589</v>
      </c>
      <c r="M7" s="4">
        <v>4589</v>
      </c>
      <c r="N7" s="4">
        <v>4589</v>
      </c>
      <c r="O7" s="4">
        <v>4589</v>
      </c>
      <c r="P7" s="4">
        <v>4589</v>
      </c>
      <c r="Q7" s="4">
        <v>2000</v>
      </c>
      <c r="R7" s="4">
        <v>2000</v>
      </c>
    </row>
    <row r="8" spans="1:18" x14ac:dyDescent="0.35">
      <c r="A8" s="16"/>
      <c r="B8" s="3"/>
      <c r="C8" s="3"/>
      <c r="D8" s="4">
        <f>D7</f>
        <v>0</v>
      </c>
      <c r="E8" s="4">
        <f t="shared" ref="E8:R8" si="0">E7</f>
        <v>4589</v>
      </c>
      <c r="F8" s="4">
        <f t="shared" si="0"/>
        <v>4589</v>
      </c>
      <c r="G8" s="4">
        <f t="shared" si="0"/>
        <v>4589</v>
      </c>
      <c r="H8" s="4">
        <f t="shared" si="0"/>
        <v>4589</v>
      </c>
      <c r="I8" s="4">
        <f t="shared" si="0"/>
        <v>4589</v>
      </c>
      <c r="J8" s="4">
        <f t="shared" si="0"/>
        <v>4589</v>
      </c>
      <c r="K8" s="4">
        <f t="shared" si="0"/>
        <v>4589</v>
      </c>
      <c r="L8" s="4">
        <f t="shared" si="0"/>
        <v>4589</v>
      </c>
      <c r="M8" s="4">
        <f t="shared" si="0"/>
        <v>4589</v>
      </c>
      <c r="N8" s="4">
        <f t="shared" si="0"/>
        <v>4589</v>
      </c>
      <c r="O8" s="4">
        <f t="shared" si="0"/>
        <v>4589</v>
      </c>
      <c r="P8" s="4">
        <f t="shared" si="0"/>
        <v>4589</v>
      </c>
      <c r="Q8" s="4">
        <f t="shared" si="0"/>
        <v>2000</v>
      </c>
      <c r="R8" s="4">
        <f t="shared" si="0"/>
        <v>2000</v>
      </c>
    </row>
    <row r="9" spans="1:18" ht="18.75" x14ac:dyDescent="0.3">
      <c r="B9" s="50"/>
      <c r="C9" s="50"/>
      <c r="D9" s="50"/>
    </row>
    <row r="10" spans="1:18" ht="18.75" x14ac:dyDescent="0.3">
      <c r="B10" s="50"/>
      <c r="C10" s="50"/>
      <c r="D10" s="50"/>
    </row>
    <row r="11" spans="1:18" x14ac:dyDescent="0.35">
      <c r="B11" s="50"/>
      <c r="C11" s="50"/>
      <c r="D11" s="50"/>
    </row>
    <row r="12" spans="1:18" x14ac:dyDescent="0.35">
      <c r="B12" s="50"/>
      <c r="C12" s="50"/>
      <c r="D12" s="50"/>
    </row>
    <row r="13" spans="1:18" x14ac:dyDescent="0.35">
      <c r="B13" s="50"/>
      <c r="C13" s="50"/>
      <c r="D13" s="50"/>
    </row>
    <row r="14" spans="1:18" x14ac:dyDescent="0.35">
      <c r="B14" s="50"/>
      <c r="C14" s="50"/>
      <c r="D14" s="50"/>
    </row>
    <row r="15" spans="1:18" x14ac:dyDescent="0.35">
      <c r="B15" s="50"/>
      <c r="C15" s="50"/>
      <c r="D15" s="50"/>
    </row>
    <row r="16" spans="1:18" x14ac:dyDescent="0.35">
      <c r="B16" s="50"/>
      <c r="C16" s="50"/>
      <c r="D16" s="50"/>
    </row>
    <row r="17" spans="2:4" x14ac:dyDescent="0.35">
      <c r="B17" s="50"/>
      <c r="C17" s="50"/>
      <c r="D17" s="50"/>
    </row>
    <row r="18" spans="2:4" x14ac:dyDescent="0.35">
      <c r="B18" s="50"/>
      <c r="C18" s="50"/>
      <c r="D18" s="50"/>
    </row>
    <row r="19" spans="2:4" x14ac:dyDescent="0.35">
      <c r="B19" s="50"/>
      <c r="C19" s="50"/>
      <c r="D19" s="50"/>
    </row>
    <row r="20" spans="2:4" x14ac:dyDescent="0.35">
      <c r="B20" s="50"/>
      <c r="C20" s="50"/>
      <c r="D20" s="50"/>
    </row>
    <row r="21" spans="2:4" x14ac:dyDescent="0.35">
      <c r="B21" s="50"/>
      <c r="C21" s="50"/>
      <c r="D21" s="50"/>
    </row>
    <row r="22" spans="2:4" x14ac:dyDescent="0.35">
      <c r="B22" s="50"/>
      <c r="C22" s="50"/>
      <c r="D22" s="50"/>
    </row>
    <row r="23" spans="2:4" x14ac:dyDescent="0.35">
      <c r="B23" s="50"/>
      <c r="C23" s="50"/>
      <c r="D23" s="50"/>
    </row>
    <row r="24" spans="2:4" x14ac:dyDescent="0.35">
      <c r="B24" s="50"/>
      <c r="C24" s="50"/>
      <c r="D24" s="50"/>
    </row>
    <row r="25" spans="2:4" x14ac:dyDescent="0.35">
      <c r="B25" s="50"/>
      <c r="C25" s="50"/>
      <c r="D25" s="50"/>
    </row>
    <row r="26" spans="2:4" x14ac:dyDescent="0.35">
      <c r="B26" s="50"/>
      <c r="C26" s="50"/>
      <c r="D26" s="50"/>
    </row>
    <row r="27" spans="2:4" x14ac:dyDescent="0.35">
      <c r="B27" s="50"/>
      <c r="C27" s="50"/>
      <c r="D27" s="50"/>
    </row>
    <row r="28" spans="2:4" x14ac:dyDescent="0.35">
      <c r="B28" s="50"/>
      <c r="C28" s="50"/>
      <c r="D28" s="50"/>
    </row>
    <row r="29" spans="2:4" x14ac:dyDescent="0.35">
      <c r="B29" s="50"/>
      <c r="C29" s="50"/>
      <c r="D29" s="50"/>
    </row>
    <row r="30" spans="2:4" x14ac:dyDescent="0.35">
      <c r="B30" s="50"/>
      <c r="C30" s="50"/>
      <c r="D30" s="50"/>
    </row>
    <row r="31" spans="2:4" x14ac:dyDescent="0.35">
      <c r="B31" s="50"/>
      <c r="C31" s="50"/>
      <c r="D31" s="50"/>
    </row>
    <row r="32" spans="2:4" x14ac:dyDescent="0.35">
      <c r="B32" s="50"/>
      <c r="C32" s="50"/>
      <c r="D32" s="50"/>
    </row>
    <row r="33" spans="2:4" x14ac:dyDescent="0.35">
      <c r="B33" s="50"/>
      <c r="C33" s="50"/>
      <c r="D33" s="50"/>
    </row>
    <row r="34" spans="2:4" x14ac:dyDescent="0.35">
      <c r="B34" s="50"/>
      <c r="C34" s="50"/>
      <c r="D34" s="50"/>
    </row>
    <row r="35" spans="2:4" x14ac:dyDescent="0.35">
      <c r="B35" s="50"/>
      <c r="C35" s="50"/>
      <c r="D35" s="50"/>
    </row>
    <row r="36" spans="2:4" x14ac:dyDescent="0.35">
      <c r="B36" s="50"/>
      <c r="C36" s="50"/>
      <c r="D36" s="50"/>
    </row>
    <row r="37" spans="2:4" x14ac:dyDescent="0.35">
      <c r="B37" s="50"/>
      <c r="C37" s="50"/>
      <c r="D37" s="50"/>
    </row>
    <row r="38" spans="2:4" x14ac:dyDescent="0.35">
      <c r="B38" s="50"/>
      <c r="C38" s="50"/>
      <c r="D38" s="50"/>
    </row>
    <row r="39" spans="2:4" x14ac:dyDescent="0.35">
      <c r="B39" s="50"/>
      <c r="C39" s="50"/>
      <c r="D39" s="50"/>
    </row>
    <row r="40" spans="2:4" x14ac:dyDescent="0.35">
      <c r="B40" s="50"/>
      <c r="C40" s="50"/>
      <c r="D40" s="50"/>
    </row>
    <row r="41" spans="2:4" x14ac:dyDescent="0.35">
      <c r="B41" s="50"/>
      <c r="C41" s="50"/>
      <c r="D41" s="50"/>
    </row>
    <row r="42" spans="2:4" x14ac:dyDescent="0.35">
      <c r="B42" s="50"/>
      <c r="C42" s="50"/>
      <c r="D42" s="50"/>
    </row>
    <row r="43" spans="2:4" x14ac:dyDescent="0.35">
      <c r="B43" s="50"/>
      <c r="C43" s="50"/>
      <c r="D43" s="50"/>
    </row>
    <row r="44" spans="2:4" x14ac:dyDescent="0.35">
      <c r="B44" s="50"/>
      <c r="C44" s="50"/>
      <c r="D44" s="50"/>
    </row>
    <row r="45" spans="2:4" x14ac:dyDescent="0.35">
      <c r="B45" s="50"/>
      <c r="C45" s="50"/>
      <c r="D45" s="50"/>
    </row>
    <row r="46" spans="2:4" x14ac:dyDescent="0.35">
      <c r="B46" s="50"/>
      <c r="C46" s="50"/>
      <c r="D46" s="50"/>
    </row>
    <row r="47" spans="2:4" x14ac:dyDescent="0.35">
      <c r="B47" s="50"/>
      <c r="C47" s="50"/>
      <c r="D47" s="50"/>
    </row>
    <row r="48" spans="2:4" x14ac:dyDescent="0.35">
      <c r="B48" s="50"/>
      <c r="C48" s="50"/>
      <c r="D48" s="50"/>
    </row>
    <row r="49" spans="2:4" x14ac:dyDescent="0.35">
      <c r="B49" s="50"/>
      <c r="C49" s="50"/>
      <c r="D49" s="50"/>
    </row>
    <row r="50" spans="2:4" x14ac:dyDescent="0.35">
      <c r="B50" s="50"/>
      <c r="C50" s="50"/>
      <c r="D50" s="50"/>
    </row>
    <row r="51" spans="2:4" x14ac:dyDescent="0.35">
      <c r="B51" s="50"/>
      <c r="C51" s="50"/>
      <c r="D51" s="50"/>
    </row>
    <row r="52" spans="2:4" x14ac:dyDescent="0.35">
      <c r="B52" s="50"/>
      <c r="C52" s="50"/>
      <c r="D52" s="50"/>
    </row>
    <row r="53" spans="2:4" x14ac:dyDescent="0.35">
      <c r="B53" s="50"/>
      <c r="C53" s="50"/>
      <c r="D53" s="50"/>
    </row>
    <row r="54" spans="2:4" x14ac:dyDescent="0.35">
      <c r="B54" s="50"/>
      <c r="C54" s="50"/>
      <c r="D54" s="50"/>
    </row>
    <row r="55" spans="2:4" x14ac:dyDescent="0.35">
      <c r="B55" s="50"/>
      <c r="C55" s="50"/>
      <c r="D55" s="50"/>
    </row>
    <row r="56" spans="2:4" x14ac:dyDescent="0.35">
      <c r="B56" s="50"/>
      <c r="C56" s="50"/>
      <c r="D56" s="50"/>
    </row>
    <row r="57" spans="2:4" x14ac:dyDescent="0.35">
      <c r="B57" s="50"/>
      <c r="C57" s="50"/>
      <c r="D57" s="50"/>
    </row>
    <row r="58" spans="2:4" x14ac:dyDescent="0.35">
      <c r="B58" s="50"/>
      <c r="C58" s="50"/>
      <c r="D58" s="50"/>
    </row>
    <row r="59" spans="2:4" x14ac:dyDescent="0.35">
      <c r="B59" s="50"/>
      <c r="C59" s="50"/>
      <c r="D59" s="50"/>
    </row>
    <row r="60" spans="2:4" x14ac:dyDescent="0.35">
      <c r="B60" s="50"/>
      <c r="C60" s="50"/>
      <c r="D60" s="50"/>
    </row>
    <row r="61" spans="2:4" x14ac:dyDescent="0.35">
      <c r="B61" s="50"/>
      <c r="C61" s="50"/>
      <c r="D61" s="50"/>
    </row>
    <row r="62" spans="2:4" x14ac:dyDescent="0.35">
      <c r="B62" s="50"/>
      <c r="C62" s="50"/>
      <c r="D62" s="50"/>
    </row>
    <row r="63" spans="2:4" x14ac:dyDescent="0.35">
      <c r="B63" s="50"/>
      <c r="C63" s="50"/>
      <c r="D63" s="50"/>
    </row>
    <row r="64" spans="2:4" x14ac:dyDescent="0.35">
      <c r="B64" s="50"/>
      <c r="C64" s="50"/>
      <c r="D64" s="50"/>
    </row>
    <row r="65" spans="1:20" x14ac:dyDescent="0.35">
      <c r="B65" s="50"/>
      <c r="C65" s="50"/>
      <c r="D65" s="50"/>
    </row>
    <row r="66" spans="1:20" x14ac:dyDescent="0.35">
      <c r="B66" s="50"/>
      <c r="C66" s="50"/>
      <c r="D66" s="50"/>
    </row>
    <row r="67" spans="1:20" x14ac:dyDescent="0.35">
      <c r="B67" s="50"/>
      <c r="C67" s="50"/>
      <c r="D67" s="50"/>
    </row>
    <row r="68" spans="1:20" x14ac:dyDescent="0.35">
      <c r="B68" s="50"/>
      <c r="C68" s="50"/>
      <c r="D68" s="50"/>
    </row>
    <row r="69" spans="1:20" x14ac:dyDescent="0.35">
      <c r="B69" s="50"/>
      <c r="C69" s="50"/>
      <c r="D69" s="50"/>
    </row>
    <row r="70" spans="1:20" x14ac:dyDescent="0.35">
      <c r="B70" s="50"/>
      <c r="C70" s="50"/>
      <c r="D70" s="50"/>
    </row>
    <row r="71" spans="1:20" x14ac:dyDescent="0.35">
      <c r="B71" s="50"/>
      <c r="C71" s="50"/>
      <c r="D71" s="50"/>
    </row>
    <row r="72" spans="1:20" x14ac:dyDescent="0.35">
      <c r="B72" s="50"/>
      <c r="C72" s="50"/>
      <c r="D72" s="50"/>
    </row>
    <row r="73" spans="1:20" x14ac:dyDescent="0.35">
      <c r="B73" s="50"/>
      <c r="C73" s="50"/>
      <c r="D73" s="50"/>
    </row>
    <row r="74" spans="1:20" x14ac:dyDescent="0.35">
      <c r="B74" s="50"/>
      <c r="C74" s="50"/>
      <c r="D74" s="50"/>
    </row>
    <row r="75" spans="1:20" x14ac:dyDescent="0.35">
      <c r="B75" s="50"/>
      <c r="C75" s="50"/>
      <c r="D75" s="50"/>
    </row>
    <row r="76" spans="1:20" x14ac:dyDescent="0.35">
      <c r="B76" s="50"/>
      <c r="C76" s="50"/>
      <c r="D76" s="50"/>
    </row>
    <row r="77" spans="1:20" x14ac:dyDescent="0.35">
      <c r="B77" s="50"/>
      <c r="C77" s="50"/>
      <c r="D77" s="50"/>
    </row>
    <row r="78" spans="1:20" x14ac:dyDescent="0.35">
      <c r="B78" s="50"/>
      <c r="C78" s="50"/>
      <c r="D78" s="50"/>
    </row>
    <row r="79" spans="1:20" x14ac:dyDescent="0.35">
      <c r="B79" s="50"/>
      <c r="C79" s="50"/>
      <c r="D79" s="50"/>
    </row>
    <row r="80" spans="1:20" s="2" customFormat="1" x14ac:dyDescent="0.35">
      <c r="A80" s="1"/>
      <c r="B80" s="50"/>
      <c r="C80" s="5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</sheetData>
  <mergeCells count="3">
    <mergeCell ref="A1:R1"/>
    <mergeCell ref="A2:R2"/>
    <mergeCell ref="A3:R3"/>
  </mergeCells>
  <pageMargins left="0.9055118110236221" right="0.70866141732283472" top="0.74803149606299213" bottom="0.74803149606299213" header="0.31496062992125984" footer="0.31496062992125984"/>
  <pageSetup paperSize="9" scale="9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0"/>
  <sheetViews>
    <sheetView zoomScaleNormal="100" workbookViewId="0">
      <selection activeCell="Q18" sqref="Q18"/>
    </sheetView>
  </sheetViews>
  <sheetFormatPr defaultColWidth="9.109375" defaultRowHeight="18" x14ac:dyDescent="0.35"/>
  <cols>
    <col min="1" max="1" width="9.44140625" style="1" customWidth="1"/>
    <col min="2" max="2" width="7" style="1" customWidth="1"/>
    <col min="3" max="3" width="31.33203125" style="1" customWidth="1"/>
    <col min="4" max="4" width="16" style="2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9.88671875" style="1" customWidth="1"/>
    <col min="18" max="16384" width="9.109375" style="1"/>
  </cols>
  <sheetData>
    <row r="1" spans="1:18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18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x14ac:dyDescent="0.35">
      <c r="A3" s="101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8" x14ac:dyDescent="0.35">
      <c r="D4" s="23"/>
      <c r="Q4" s="23" t="s">
        <v>27</v>
      </c>
    </row>
    <row r="5" spans="1:18" ht="36" x14ac:dyDescent="0.35">
      <c r="A5" s="3" t="s">
        <v>0</v>
      </c>
      <c r="B5" s="3" t="s">
        <v>1</v>
      </c>
      <c r="C5" s="3" t="s">
        <v>32</v>
      </c>
      <c r="D5" s="31" t="s">
        <v>38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16" t="s">
        <v>51</v>
      </c>
    </row>
    <row r="6" spans="1:18" ht="28.5" customHeight="1" x14ac:dyDescent="0.3">
      <c r="A6" s="8"/>
      <c r="B6" s="103"/>
      <c r="C6" s="104"/>
      <c r="D6" s="10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</row>
    <row r="7" spans="1:18" x14ac:dyDescent="0.35">
      <c r="A7" s="13">
        <v>70201</v>
      </c>
      <c r="B7" s="3">
        <v>2230</v>
      </c>
      <c r="C7" s="25" t="s">
        <v>43</v>
      </c>
      <c r="D7" s="4"/>
      <c r="E7" s="7"/>
      <c r="F7" s="7">
        <v>100</v>
      </c>
      <c r="G7" s="7"/>
      <c r="H7" s="7"/>
      <c r="I7" s="7"/>
      <c r="J7" s="7"/>
      <c r="K7" s="7"/>
      <c r="L7" s="7"/>
      <c r="M7" s="7"/>
      <c r="N7" s="7"/>
      <c r="O7" s="7"/>
      <c r="P7" s="7">
        <v>600</v>
      </c>
      <c r="Q7" s="3">
        <v>0</v>
      </c>
    </row>
    <row r="8" spans="1:18" x14ac:dyDescent="0.35">
      <c r="A8" s="8" t="s">
        <v>25</v>
      </c>
      <c r="B8" s="12"/>
      <c r="C8" s="12"/>
      <c r="D8" s="9">
        <f>SUM(D7:D7)</f>
        <v>0</v>
      </c>
      <c r="E8" s="9">
        <f t="shared" ref="E8:Q8" si="0">SUM(E7:E7)</f>
        <v>0</v>
      </c>
      <c r="F8" s="9">
        <f t="shared" si="0"/>
        <v>100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9">
        <f t="shared" si="0"/>
        <v>600</v>
      </c>
      <c r="Q8" s="9">
        <f t="shared" si="0"/>
        <v>0</v>
      </c>
    </row>
    <row r="9" spans="1:18" ht="18.75" x14ac:dyDescent="0.3">
      <c r="B9" s="22"/>
      <c r="C9" s="22"/>
      <c r="D9" s="22"/>
    </row>
    <row r="10" spans="1:18" ht="18.75" x14ac:dyDescent="0.3">
      <c r="B10" s="22"/>
      <c r="C10" s="22"/>
      <c r="D10" s="22"/>
    </row>
    <row r="11" spans="1:18" ht="18.75" x14ac:dyDescent="0.3">
      <c r="B11" s="22"/>
      <c r="C11" s="22"/>
      <c r="D11" s="22"/>
    </row>
    <row r="12" spans="1:18" ht="18.75" x14ac:dyDescent="0.3">
      <c r="B12" s="22"/>
      <c r="C12" s="22"/>
      <c r="D12" s="22"/>
    </row>
    <row r="13" spans="1:18" ht="18.75" x14ac:dyDescent="0.3">
      <c r="B13" s="22"/>
      <c r="C13" s="22"/>
      <c r="D13" s="22"/>
    </row>
    <row r="14" spans="1:18" ht="18.75" x14ac:dyDescent="0.3">
      <c r="B14" s="22"/>
      <c r="C14" s="22"/>
      <c r="D14" s="22"/>
    </row>
    <row r="15" spans="1:18" ht="18.75" x14ac:dyDescent="0.3">
      <c r="B15" s="22"/>
      <c r="C15" s="22"/>
      <c r="D15" s="22"/>
    </row>
    <row r="16" spans="1:18" ht="18.75" x14ac:dyDescent="0.3">
      <c r="B16" s="22"/>
      <c r="C16" s="22"/>
      <c r="D16" s="22"/>
    </row>
    <row r="17" spans="2:4" x14ac:dyDescent="0.35">
      <c r="B17" s="22"/>
      <c r="C17" s="22"/>
      <c r="D17" s="22"/>
    </row>
    <row r="18" spans="2:4" x14ac:dyDescent="0.35">
      <c r="B18" s="22"/>
      <c r="C18" s="22"/>
      <c r="D18" s="22"/>
    </row>
    <row r="19" spans="2:4" x14ac:dyDescent="0.35">
      <c r="B19" s="22"/>
      <c r="C19" s="22"/>
      <c r="D19" s="22"/>
    </row>
    <row r="20" spans="2:4" x14ac:dyDescent="0.35">
      <c r="B20" s="22"/>
      <c r="C20" s="22"/>
      <c r="D20" s="22"/>
    </row>
    <row r="21" spans="2:4" x14ac:dyDescent="0.35">
      <c r="B21" s="22"/>
      <c r="C21" s="22"/>
      <c r="D21" s="22"/>
    </row>
    <row r="22" spans="2:4" x14ac:dyDescent="0.35">
      <c r="B22" s="22"/>
      <c r="C22" s="22"/>
      <c r="D22" s="22"/>
    </row>
    <row r="23" spans="2:4" x14ac:dyDescent="0.35">
      <c r="B23" s="22"/>
      <c r="C23" s="22"/>
      <c r="D23" s="22"/>
    </row>
    <row r="24" spans="2:4" x14ac:dyDescent="0.35">
      <c r="B24" s="22"/>
      <c r="C24" s="22"/>
      <c r="D24" s="22"/>
    </row>
    <row r="25" spans="2:4" x14ac:dyDescent="0.35">
      <c r="B25" s="22"/>
      <c r="C25" s="22"/>
      <c r="D25" s="22"/>
    </row>
    <row r="26" spans="2:4" x14ac:dyDescent="0.35">
      <c r="B26" s="22"/>
      <c r="C26" s="22"/>
      <c r="D26" s="22"/>
    </row>
    <row r="27" spans="2:4" x14ac:dyDescent="0.35">
      <c r="B27" s="22"/>
      <c r="C27" s="22"/>
      <c r="D27" s="22"/>
    </row>
    <row r="28" spans="2:4" x14ac:dyDescent="0.35">
      <c r="B28" s="22"/>
      <c r="C28" s="22"/>
      <c r="D28" s="22"/>
    </row>
    <row r="29" spans="2:4" x14ac:dyDescent="0.35">
      <c r="B29" s="22"/>
      <c r="C29" s="22"/>
      <c r="D29" s="22"/>
    </row>
    <row r="30" spans="2:4" x14ac:dyDescent="0.35">
      <c r="B30" s="22"/>
      <c r="C30" s="22"/>
      <c r="D30" s="22"/>
    </row>
    <row r="31" spans="2:4" x14ac:dyDescent="0.35">
      <c r="B31" s="22"/>
      <c r="C31" s="22"/>
      <c r="D31" s="22"/>
    </row>
    <row r="32" spans="2:4" x14ac:dyDescent="0.35">
      <c r="B32" s="22"/>
      <c r="C32" s="22"/>
      <c r="D32" s="22"/>
    </row>
    <row r="33" spans="2:4" x14ac:dyDescent="0.35">
      <c r="B33" s="22"/>
      <c r="C33" s="22"/>
      <c r="D33" s="22"/>
    </row>
    <row r="34" spans="2:4" x14ac:dyDescent="0.35">
      <c r="B34" s="22"/>
      <c r="C34" s="22"/>
      <c r="D34" s="22"/>
    </row>
    <row r="35" spans="2:4" x14ac:dyDescent="0.35">
      <c r="B35" s="22"/>
      <c r="C35" s="22"/>
      <c r="D35" s="22"/>
    </row>
    <row r="36" spans="2:4" x14ac:dyDescent="0.35">
      <c r="B36" s="22"/>
      <c r="C36" s="22"/>
      <c r="D36" s="22"/>
    </row>
    <row r="37" spans="2:4" x14ac:dyDescent="0.35">
      <c r="B37" s="22"/>
      <c r="C37" s="22"/>
      <c r="D37" s="22"/>
    </row>
    <row r="38" spans="2:4" x14ac:dyDescent="0.35">
      <c r="B38" s="22"/>
      <c r="C38" s="22"/>
      <c r="D38" s="22"/>
    </row>
    <row r="39" spans="2:4" x14ac:dyDescent="0.35">
      <c r="B39" s="22"/>
      <c r="C39" s="22"/>
      <c r="D39" s="22"/>
    </row>
    <row r="40" spans="2:4" x14ac:dyDescent="0.35">
      <c r="B40" s="22"/>
      <c r="C40" s="22"/>
      <c r="D40" s="22"/>
    </row>
    <row r="41" spans="2:4" x14ac:dyDescent="0.35">
      <c r="B41" s="22"/>
      <c r="C41" s="22"/>
      <c r="D41" s="22"/>
    </row>
    <row r="42" spans="2:4" x14ac:dyDescent="0.35">
      <c r="B42" s="22"/>
      <c r="C42" s="22"/>
      <c r="D42" s="22"/>
    </row>
    <row r="43" spans="2:4" x14ac:dyDescent="0.35">
      <c r="B43" s="22"/>
      <c r="C43" s="22"/>
      <c r="D43" s="22"/>
    </row>
    <row r="44" spans="2:4" x14ac:dyDescent="0.35">
      <c r="B44" s="22"/>
      <c r="C44" s="22"/>
      <c r="D44" s="22"/>
    </row>
    <row r="45" spans="2:4" x14ac:dyDescent="0.35">
      <c r="B45" s="22"/>
      <c r="C45" s="22"/>
      <c r="D45" s="22"/>
    </row>
    <row r="46" spans="2:4" x14ac:dyDescent="0.35">
      <c r="B46" s="22"/>
      <c r="C46" s="22"/>
      <c r="D46" s="22"/>
    </row>
    <row r="47" spans="2:4" x14ac:dyDescent="0.35">
      <c r="B47" s="22"/>
      <c r="C47" s="22"/>
      <c r="D47" s="22"/>
    </row>
    <row r="48" spans="2:4" x14ac:dyDescent="0.35">
      <c r="B48" s="22"/>
      <c r="C48" s="22"/>
      <c r="D48" s="22"/>
    </row>
    <row r="49" spans="2:4" x14ac:dyDescent="0.35">
      <c r="B49" s="22"/>
      <c r="C49" s="22"/>
      <c r="D49" s="22"/>
    </row>
    <row r="50" spans="2:4" x14ac:dyDescent="0.35">
      <c r="B50" s="22"/>
      <c r="C50" s="22"/>
      <c r="D50" s="22"/>
    </row>
    <row r="51" spans="2:4" x14ac:dyDescent="0.35">
      <c r="B51" s="22"/>
      <c r="C51" s="22"/>
      <c r="D51" s="22"/>
    </row>
    <row r="52" spans="2:4" x14ac:dyDescent="0.35">
      <c r="B52" s="22"/>
      <c r="C52" s="22"/>
      <c r="D52" s="22"/>
    </row>
    <row r="53" spans="2:4" x14ac:dyDescent="0.35">
      <c r="B53" s="22"/>
      <c r="C53" s="22"/>
      <c r="D53" s="22"/>
    </row>
    <row r="54" spans="2:4" x14ac:dyDescent="0.35">
      <c r="B54" s="22"/>
      <c r="C54" s="22"/>
      <c r="D54" s="22"/>
    </row>
    <row r="55" spans="2:4" x14ac:dyDescent="0.35">
      <c r="B55" s="22"/>
      <c r="C55" s="22"/>
      <c r="D55" s="22"/>
    </row>
    <row r="56" spans="2:4" x14ac:dyDescent="0.35">
      <c r="B56" s="22"/>
      <c r="C56" s="22"/>
      <c r="D56" s="22"/>
    </row>
    <row r="57" spans="2:4" x14ac:dyDescent="0.35">
      <c r="B57" s="22"/>
      <c r="C57" s="22"/>
      <c r="D57" s="22"/>
    </row>
    <row r="58" spans="2:4" x14ac:dyDescent="0.35">
      <c r="B58" s="22"/>
      <c r="C58" s="22"/>
      <c r="D58" s="22"/>
    </row>
    <row r="59" spans="2:4" x14ac:dyDescent="0.35">
      <c r="B59" s="22"/>
      <c r="C59" s="22"/>
      <c r="D59" s="22"/>
    </row>
    <row r="60" spans="2:4" x14ac:dyDescent="0.35">
      <c r="B60" s="22"/>
      <c r="C60" s="22"/>
      <c r="D60" s="22"/>
    </row>
    <row r="61" spans="2:4" x14ac:dyDescent="0.35">
      <c r="B61" s="22"/>
      <c r="C61" s="22"/>
      <c r="D61" s="22"/>
    </row>
    <row r="62" spans="2:4" x14ac:dyDescent="0.35">
      <c r="B62" s="22"/>
      <c r="C62" s="22"/>
      <c r="D62" s="22"/>
    </row>
    <row r="63" spans="2:4" x14ac:dyDescent="0.35">
      <c r="B63" s="22"/>
      <c r="C63" s="22"/>
      <c r="D63" s="22"/>
    </row>
    <row r="64" spans="2:4" x14ac:dyDescent="0.35">
      <c r="B64" s="22"/>
      <c r="C64" s="22"/>
      <c r="D64" s="22"/>
    </row>
    <row r="65" spans="2:4" x14ac:dyDescent="0.35">
      <c r="B65" s="22"/>
      <c r="C65" s="22"/>
      <c r="D65" s="22"/>
    </row>
    <row r="66" spans="2:4" x14ac:dyDescent="0.35">
      <c r="B66" s="22"/>
      <c r="C66" s="22"/>
      <c r="D66" s="22"/>
    </row>
    <row r="67" spans="2:4" x14ac:dyDescent="0.35">
      <c r="B67" s="22"/>
      <c r="C67" s="22"/>
      <c r="D67" s="22"/>
    </row>
    <row r="68" spans="2:4" x14ac:dyDescent="0.35">
      <c r="B68" s="22"/>
      <c r="C68" s="22"/>
      <c r="D68" s="22"/>
    </row>
    <row r="69" spans="2:4" x14ac:dyDescent="0.35">
      <c r="B69" s="22"/>
      <c r="C69" s="22"/>
      <c r="D69" s="22"/>
    </row>
    <row r="70" spans="2:4" x14ac:dyDescent="0.35">
      <c r="B70" s="22"/>
      <c r="C70" s="22"/>
      <c r="D70" s="22"/>
    </row>
    <row r="71" spans="2:4" x14ac:dyDescent="0.35">
      <c r="B71" s="22"/>
      <c r="C71" s="22"/>
      <c r="D71" s="22"/>
    </row>
    <row r="72" spans="2:4" x14ac:dyDescent="0.35">
      <c r="B72" s="22"/>
      <c r="C72" s="22"/>
      <c r="D72" s="22"/>
    </row>
    <row r="73" spans="2:4" x14ac:dyDescent="0.35">
      <c r="B73" s="22"/>
      <c r="C73" s="22"/>
      <c r="D73" s="22"/>
    </row>
    <row r="74" spans="2:4" x14ac:dyDescent="0.35">
      <c r="B74" s="22"/>
      <c r="C74" s="22"/>
      <c r="D74" s="22"/>
    </row>
    <row r="75" spans="2:4" x14ac:dyDescent="0.35">
      <c r="B75" s="22"/>
      <c r="C75" s="22"/>
      <c r="D75" s="22"/>
    </row>
    <row r="76" spans="2:4" x14ac:dyDescent="0.35">
      <c r="B76" s="22"/>
      <c r="C76" s="22"/>
      <c r="D76" s="22"/>
    </row>
    <row r="77" spans="2:4" x14ac:dyDescent="0.35">
      <c r="B77" s="22"/>
      <c r="C77" s="22"/>
      <c r="D77" s="22"/>
    </row>
    <row r="78" spans="2:4" x14ac:dyDescent="0.35">
      <c r="B78" s="22"/>
      <c r="C78" s="22"/>
      <c r="D78" s="22"/>
    </row>
    <row r="79" spans="2:4" x14ac:dyDescent="0.35">
      <c r="B79" s="22"/>
      <c r="C79" s="22"/>
      <c r="D79" s="22"/>
    </row>
    <row r="80" spans="2:4" x14ac:dyDescent="0.35">
      <c r="B80" s="22"/>
      <c r="C80" s="22"/>
    </row>
  </sheetData>
  <mergeCells count="4">
    <mergeCell ref="A1:Q1"/>
    <mergeCell ref="A3:Q3"/>
    <mergeCell ref="B6:D6"/>
    <mergeCell ref="A2:R2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3"/>
  <sheetViews>
    <sheetView zoomScaleNormal="100" workbookViewId="0">
      <selection activeCell="Q8" sqref="Q8"/>
    </sheetView>
  </sheetViews>
  <sheetFormatPr defaultColWidth="9.109375" defaultRowHeight="18" x14ac:dyDescent="0.35"/>
  <cols>
    <col min="1" max="1" width="8.88671875" style="1" customWidth="1"/>
    <col min="2" max="2" width="13.6640625" style="1" customWidth="1"/>
    <col min="3" max="3" width="31.109375" style="1" customWidth="1"/>
    <col min="4" max="4" width="17.44140625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7.6640625" style="1" hidden="1" customWidth="1"/>
    <col min="17" max="17" width="20.109375" style="1" customWidth="1"/>
    <col min="18" max="18" width="20.6640625" style="1" customWidth="1"/>
    <col min="19" max="16384" width="9.109375" style="1"/>
  </cols>
  <sheetData>
    <row r="1" spans="1:19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9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9" x14ac:dyDescent="0.35">
      <c r="A3" s="101" t="s">
        <v>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9" x14ac:dyDescent="0.35">
      <c r="D4" s="23"/>
      <c r="R4" s="23" t="s">
        <v>27</v>
      </c>
    </row>
    <row r="5" spans="1:19" ht="36" x14ac:dyDescent="0.35">
      <c r="A5" s="3" t="s">
        <v>0</v>
      </c>
      <c r="B5" s="3" t="s">
        <v>1</v>
      </c>
      <c r="C5" s="3" t="s">
        <v>32</v>
      </c>
      <c r="D5" s="31" t="s">
        <v>38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74</v>
      </c>
      <c r="R5" s="16" t="s">
        <v>51</v>
      </c>
    </row>
    <row r="6" spans="1:19" ht="36" x14ac:dyDescent="0.35">
      <c r="A6" s="6">
        <v>70806</v>
      </c>
      <c r="B6" s="51" t="s">
        <v>69</v>
      </c>
      <c r="C6" s="52" t="s">
        <v>70</v>
      </c>
      <c r="D6" s="4">
        <v>2322.3000000000002</v>
      </c>
      <c r="E6" s="4">
        <v>2322.3000000000002</v>
      </c>
      <c r="F6" s="4">
        <v>2322.3000000000002</v>
      </c>
      <c r="G6" s="4">
        <v>2322.3000000000002</v>
      </c>
      <c r="H6" s="4">
        <v>2322.3000000000002</v>
      </c>
      <c r="I6" s="4">
        <v>2322.3000000000002</v>
      </c>
      <c r="J6" s="4">
        <v>2322.3000000000002</v>
      </c>
      <c r="K6" s="4">
        <v>2322.3000000000002</v>
      </c>
      <c r="L6" s="4">
        <v>2322.3000000000002</v>
      </c>
      <c r="M6" s="4">
        <v>2322.3000000000002</v>
      </c>
      <c r="N6" s="4">
        <v>2322.3000000000002</v>
      </c>
      <c r="O6" s="4">
        <v>2322.3000000000002</v>
      </c>
      <c r="P6" s="4">
        <v>2322.3000000000002</v>
      </c>
      <c r="Q6" s="4">
        <f>2205.3+485.2</f>
        <v>2690.5</v>
      </c>
      <c r="R6" s="4">
        <f>1584+331.4</f>
        <v>1915.4</v>
      </c>
    </row>
    <row r="7" spans="1:19" ht="43.5" customHeight="1" x14ac:dyDescent="0.35">
      <c r="A7" s="16"/>
      <c r="B7" s="3">
        <v>2210</v>
      </c>
      <c r="C7" s="24" t="s">
        <v>33</v>
      </c>
      <c r="D7" s="4">
        <f t="shared" ref="D7" si="0">SUM(E7:P7)</f>
        <v>22.2</v>
      </c>
      <c r="E7" s="7"/>
      <c r="F7" s="7"/>
      <c r="G7" s="7">
        <v>2</v>
      </c>
      <c r="H7" s="7">
        <v>2</v>
      </c>
      <c r="I7" s="7">
        <v>2</v>
      </c>
      <c r="J7" s="7">
        <v>2</v>
      </c>
      <c r="K7" s="7">
        <v>2</v>
      </c>
      <c r="L7" s="7">
        <v>4</v>
      </c>
      <c r="M7" s="7">
        <v>2</v>
      </c>
      <c r="N7" s="7">
        <v>4</v>
      </c>
      <c r="O7" s="7">
        <v>2</v>
      </c>
      <c r="P7" s="7">
        <v>0.2</v>
      </c>
      <c r="Q7" s="4">
        <v>68.2</v>
      </c>
      <c r="R7" s="4">
        <v>34.61</v>
      </c>
    </row>
    <row r="8" spans="1:19" ht="36" x14ac:dyDescent="0.35">
      <c r="A8" s="16"/>
      <c r="B8" s="3">
        <v>2240</v>
      </c>
      <c r="C8" s="24" t="s">
        <v>34</v>
      </c>
      <c r="D8" s="4">
        <f>SUM(E8:P8)</f>
        <v>235.2</v>
      </c>
      <c r="E8" s="7"/>
      <c r="F8" s="7">
        <v>12</v>
      </c>
      <c r="G8" s="7">
        <v>10</v>
      </c>
      <c r="H8" s="7">
        <v>23.5</v>
      </c>
      <c r="I8" s="7">
        <v>23.5</v>
      </c>
      <c r="J8" s="7">
        <v>23.5</v>
      </c>
      <c r="K8" s="7">
        <v>23.5</v>
      </c>
      <c r="L8" s="7">
        <v>21.5</v>
      </c>
      <c r="M8" s="7">
        <v>23.5</v>
      </c>
      <c r="N8" s="7">
        <v>21.5</v>
      </c>
      <c r="O8" s="7">
        <v>23.5</v>
      </c>
      <c r="P8" s="7">
        <v>29.2</v>
      </c>
      <c r="Q8" s="4">
        <v>332</v>
      </c>
      <c r="R8" s="4">
        <v>160</v>
      </c>
    </row>
    <row r="9" spans="1:19" ht="36" x14ac:dyDescent="0.35">
      <c r="A9" s="16"/>
      <c r="B9" s="57">
        <v>2270</v>
      </c>
      <c r="C9" s="61" t="s">
        <v>35</v>
      </c>
      <c r="D9" s="58">
        <f>SUM(D10:D12)</f>
        <v>597.80000000000007</v>
      </c>
      <c r="E9" s="58">
        <f t="shared" ref="E9:P9" si="1">SUM(E10:E12)</f>
        <v>3.1</v>
      </c>
      <c r="F9" s="58">
        <f t="shared" si="1"/>
        <v>273</v>
      </c>
      <c r="G9" s="58">
        <f t="shared" si="1"/>
        <v>193.6</v>
      </c>
      <c r="H9" s="58">
        <f t="shared" si="1"/>
        <v>14</v>
      </c>
      <c r="I9" s="58">
        <f t="shared" si="1"/>
        <v>14</v>
      </c>
      <c r="J9" s="58">
        <f t="shared" si="1"/>
        <v>14</v>
      </c>
      <c r="K9" s="58">
        <f t="shared" si="1"/>
        <v>14</v>
      </c>
      <c r="L9" s="58">
        <f t="shared" si="1"/>
        <v>14</v>
      </c>
      <c r="M9" s="58">
        <f t="shared" si="1"/>
        <v>14</v>
      </c>
      <c r="N9" s="58">
        <f t="shared" si="1"/>
        <v>14</v>
      </c>
      <c r="O9" s="58">
        <f t="shared" si="1"/>
        <v>14</v>
      </c>
      <c r="P9" s="58">
        <f t="shared" si="1"/>
        <v>16.100000000000001</v>
      </c>
      <c r="Q9" s="100">
        <f>SUM(Q10:Q12)</f>
        <v>1815</v>
      </c>
      <c r="R9" s="58">
        <f>R10+R11+R12</f>
        <v>755.61699999999996</v>
      </c>
      <c r="S9" s="5">
        <f>R10+R11+R12</f>
        <v>755.61699999999996</v>
      </c>
    </row>
    <row r="10" spans="1:19" x14ac:dyDescent="0.35">
      <c r="A10" s="16"/>
      <c r="B10" s="3">
        <v>2271</v>
      </c>
      <c r="C10" s="26" t="s">
        <v>39</v>
      </c>
      <c r="D10" s="4">
        <f t="shared" ref="D10:D12" si="2">SUM(E10:P10)</f>
        <v>450</v>
      </c>
      <c r="E10" s="7"/>
      <c r="F10" s="7">
        <v>243.3</v>
      </c>
      <c r="G10" s="7">
        <v>193</v>
      </c>
      <c r="H10" s="7">
        <v>13.7</v>
      </c>
      <c r="I10" s="7"/>
      <c r="J10" s="7"/>
      <c r="K10" s="7"/>
      <c r="L10" s="7"/>
      <c r="M10" s="7"/>
      <c r="N10" s="7"/>
      <c r="O10" s="7"/>
      <c r="P10" s="7"/>
      <c r="Q10" s="4">
        <v>1500</v>
      </c>
      <c r="R10" s="4">
        <v>662.3</v>
      </c>
    </row>
    <row r="11" spans="1:19" ht="36" x14ac:dyDescent="0.35">
      <c r="A11" s="16"/>
      <c r="B11" s="3">
        <v>2272</v>
      </c>
      <c r="C11" s="25" t="s">
        <v>40</v>
      </c>
      <c r="D11" s="4">
        <f t="shared" si="2"/>
        <v>6.1</v>
      </c>
      <c r="E11" s="7">
        <v>0.5</v>
      </c>
      <c r="F11" s="7">
        <v>0.6</v>
      </c>
      <c r="G11" s="7">
        <v>0.6</v>
      </c>
      <c r="H11" s="7"/>
      <c r="I11" s="7"/>
      <c r="J11" s="7">
        <v>0.8</v>
      </c>
      <c r="K11" s="7">
        <v>0.8</v>
      </c>
      <c r="L11" s="7">
        <v>0.8</v>
      </c>
      <c r="M11" s="7">
        <v>0.8</v>
      </c>
      <c r="N11" s="7">
        <v>0.8</v>
      </c>
      <c r="O11" s="7">
        <v>0.4</v>
      </c>
      <c r="P11" s="7"/>
      <c r="Q11" s="4">
        <v>15</v>
      </c>
      <c r="R11" s="4">
        <v>4.1900000000000004</v>
      </c>
    </row>
    <row r="12" spans="1:19" x14ac:dyDescent="0.35">
      <c r="A12" s="16"/>
      <c r="B12" s="3">
        <v>2273</v>
      </c>
      <c r="C12" s="26" t="s">
        <v>41</v>
      </c>
      <c r="D12" s="4">
        <f t="shared" si="2"/>
        <v>141.70000000000002</v>
      </c>
      <c r="E12" s="7">
        <v>2.6</v>
      </c>
      <c r="F12" s="7">
        <v>29.1</v>
      </c>
      <c r="G12" s="7"/>
      <c r="H12" s="7">
        <v>0.3</v>
      </c>
      <c r="I12" s="7">
        <v>14</v>
      </c>
      <c r="J12" s="7">
        <v>13.2</v>
      </c>
      <c r="K12" s="7">
        <v>13.2</v>
      </c>
      <c r="L12" s="7">
        <v>13.2</v>
      </c>
      <c r="M12" s="7">
        <v>13.2</v>
      </c>
      <c r="N12" s="7">
        <v>13.2</v>
      </c>
      <c r="O12" s="7">
        <v>13.6</v>
      </c>
      <c r="P12" s="7">
        <v>16.100000000000001</v>
      </c>
      <c r="Q12" s="4">
        <v>300</v>
      </c>
      <c r="R12" s="4">
        <v>89.126999999999995</v>
      </c>
    </row>
    <row r="13" spans="1:19" x14ac:dyDescent="0.35">
      <c r="A13" s="16"/>
      <c r="B13" s="3"/>
      <c r="C13" s="26"/>
      <c r="D13" s="9">
        <f>D6+D7+D8+D9</f>
        <v>3177.5</v>
      </c>
      <c r="E13" s="9">
        <f t="shared" ref="E13:Q13" si="3">E6+E7+E8+E9</f>
        <v>2325.4</v>
      </c>
      <c r="F13" s="9">
        <f t="shared" si="3"/>
        <v>2607.3000000000002</v>
      </c>
      <c r="G13" s="9">
        <f t="shared" si="3"/>
        <v>2527.9</v>
      </c>
      <c r="H13" s="9">
        <f t="shared" si="3"/>
        <v>2361.8000000000002</v>
      </c>
      <c r="I13" s="9">
        <f t="shared" si="3"/>
        <v>2361.8000000000002</v>
      </c>
      <c r="J13" s="9">
        <f t="shared" si="3"/>
        <v>2361.8000000000002</v>
      </c>
      <c r="K13" s="9">
        <f t="shared" si="3"/>
        <v>2361.8000000000002</v>
      </c>
      <c r="L13" s="9">
        <f t="shared" si="3"/>
        <v>2361.8000000000002</v>
      </c>
      <c r="M13" s="9">
        <f t="shared" si="3"/>
        <v>2361.8000000000002</v>
      </c>
      <c r="N13" s="9">
        <f t="shared" si="3"/>
        <v>2361.8000000000002</v>
      </c>
      <c r="O13" s="9">
        <f t="shared" si="3"/>
        <v>2361.8000000000002</v>
      </c>
      <c r="P13" s="9">
        <f t="shared" si="3"/>
        <v>2367.7999999999997</v>
      </c>
      <c r="Q13" s="9">
        <f t="shared" si="3"/>
        <v>4905.7</v>
      </c>
      <c r="R13" s="81">
        <f>R6+R7+R8+R9</f>
        <v>2865.6270000000004</v>
      </c>
    </row>
  </sheetData>
  <mergeCells count="3">
    <mergeCell ref="A1:R1"/>
    <mergeCell ref="A2:R2"/>
    <mergeCell ref="A3:R3"/>
  </mergeCells>
  <pageMargins left="0.9055118110236221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90"/>
  <sheetViews>
    <sheetView topLeftCell="A11" zoomScaleNormal="100" workbookViewId="0">
      <selection activeCell="Q20" sqref="Q20"/>
    </sheetView>
  </sheetViews>
  <sheetFormatPr defaultColWidth="9.109375" defaultRowHeight="18" x14ac:dyDescent="0.35"/>
  <cols>
    <col min="1" max="1" width="8.33203125" style="1" customWidth="1"/>
    <col min="2" max="2" width="16" style="1" customWidth="1"/>
    <col min="3" max="3" width="31.6640625" style="1" customWidth="1"/>
    <col min="4" max="4" width="18.5546875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8.109375" style="1" customWidth="1"/>
    <col min="18" max="18" width="20.5546875" style="1" customWidth="1"/>
    <col min="19" max="19" width="9.6640625" style="1" bestFit="1" customWidth="1"/>
    <col min="20" max="16384" width="9.109375" style="1"/>
  </cols>
  <sheetData>
    <row r="1" spans="1:19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9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9" x14ac:dyDescent="0.35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9" x14ac:dyDescent="0.35">
      <c r="D4" s="23"/>
      <c r="R4" s="23" t="s">
        <v>27</v>
      </c>
    </row>
    <row r="5" spans="1:19" ht="36" customHeight="1" x14ac:dyDescent="0.35">
      <c r="A5" s="3" t="s">
        <v>0</v>
      </c>
      <c r="B5" s="3" t="s">
        <v>1</v>
      </c>
      <c r="C5" s="3" t="s">
        <v>32</v>
      </c>
      <c r="D5" s="31" t="s">
        <v>38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6" t="s">
        <v>72</v>
      </c>
      <c r="R5" s="18" t="s">
        <v>51</v>
      </c>
    </row>
    <row r="6" spans="1:19" ht="45" customHeight="1" x14ac:dyDescent="0.35">
      <c r="A6" s="6">
        <v>70307</v>
      </c>
      <c r="B6" s="51" t="s">
        <v>69</v>
      </c>
      <c r="C6" s="52" t="s">
        <v>70</v>
      </c>
      <c r="D6" s="53">
        <v>11320.1</v>
      </c>
      <c r="E6" s="53">
        <v>11320.1</v>
      </c>
      <c r="F6" s="53">
        <v>11320.1</v>
      </c>
      <c r="G6" s="53">
        <v>11320.1</v>
      </c>
      <c r="H6" s="53">
        <v>11320.1</v>
      </c>
      <c r="I6" s="53">
        <v>11320.1</v>
      </c>
      <c r="J6" s="53">
        <v>11320.1</v>
      </c>
      <c r="K6" s="53">
        <v>11320.1</v>
      </c>
      <c r="L6" s="53">
        <v>11320.1</v>
      </c>
      <c r="M6" s="53">
        <v>11320.1</v>
      </c>
      <c r="N6" s="53">
        <v>11320.1</v>
      </c>
      <c r="O6" s="53">
        <v>11320.1</v>
      </c>
      <c r="P6" s="53">
        <v>11320.1</v>
      </c>
      <c r="Q6" s="53">
        <f>13157.9+2894.7</f>
        <v>16052.599999999999</v>
      </c>
      <c r="R6" s="4">
        <f>8890.535+1941.372</f>
        <v>10831.906999999999</v>
      </c>
      <c r="S6" s="5"/>
    </row>
    <row r="7" spans="1:19" ht="63.75" customHeight="1" x14ac:dyDescent="0.35">
      <c r="A7" s="8"/>
      <c r="B7" s="3">
        <v>2210</v>
      </c>
      <c r="C7" s="24" t="s">
        <v>33</v>
      </c>
      <c r="D7" s="4">
        <f t="shared" ref="D7:D10" si="0">SUM(E7:P7)</f>
        <v>22.900000000000002</v>
      </c>
      <c r="E7" s="7"/>
      <c r="F7" s="7">
        <v>1.8</v>
      </c>
      <c r="G7" s="7">
        <v>1.8</v>
      </c>
      <c r="H7" s="7">
        <v>19.3</v>
      </c>
      <c r="I7" s="7"/>
      <c r="J7" s="7"/>
      <c r="K7" s="7"/>
      <c r="L7" s="7"/>
      <c r="M7" s="7"/>
      <c r="N7" s="7"/>
      <c r="O7" s="7"/>
      <c r="P7" s="7"/>
      <c r="Q7" s="4">
        <v>1961.3</v>
      </c>
      <c r="R7" s="4">
        <v>1961.3</v>
      </c>
    </row>
    <row r="8" spans="1:19" ht="41.25" customHeight="1" x14ac:dyDescent="0.35">
      <c r="A8" s="8"/>
      <c r="B8" s="54">
        <v>2220</v>
      </c>
      <c r="C8" s="62" t="s">
        <v>37</v>
      </c>
      <c r="D8" s="56">
        <f t="shared" si="0"/>
        <v>11.3</v>
      </c>
      <c r="E8" s="19"/>
      <c r="F8" s="19"/>
      <c r="G8" s="19"/>
      <c r="H8" s="19">
        <v>11.3</v>
      </c>
      <c r="I8" s="19"/>
      <c r="J8" s="19"/>
      <c r="K8" s="19"/>
      <c r="L8" s="19"/>
      <c r="M8" s="19"/>
      <c r="N8" s="19"/>
      <c r="O8" s="19"/>
      <c r="P8" s="19"/>
      <c r="Q8" s="56">
        <v>82.3</v>
      </c>
      <c r="R8" s="56">
        <v>32.003999999999998</v>
      </c>
    </row>
    <row r="9" spans="1:19" ht="27" customHeight="1" x14ac:dyDescent="0.35">
      <c r="A9" s="8"/>
      <c r="B9" s="3">
        <v>2230</v>
      </c>
      <c r="C9" s="24" t="s">
        <v>43</v>
      </c>
      <c r="D9" s="4">
        <f t="shared" si="0"/>
        <v>4404.3</v>
      </c>
      <c r="E9" s="7">
        <v>1291.9000000000001</v>
      </c>
      <c r="F9" s="7">
        <v>359</v>
      </c>
      <c r="G9" s="7">
        <v>241.2</v>
      </c>
      <c r="H9" s="7">
        <v>400</v>
      </c>
      <c r="I9" s="7">
        <v>400</v>
      </c>
      <c r="J9" s="7">
        <v>300</v>
      </c>
      <c r="K9" s="7"/>
      <c r="L9" s="7">
        <v>400</v>
      </c>
      <c r="M9" s="7">
        <v>400</v>
      </c>
      <c r="N9" s="7">
        <v>400</v>
      </c>
      <c r="O9" s="7">
        <v>112.2</v>
      </c>
      <c r="P9" s="7">
        <v>100</v>
      </c>
      <c r="Q9" s="4">
        <v>8719.7999999999993</v>
      </c>
      <c r="R9" s="4">
        <v>4608.7</v>
      </c>
    </row>
    <row r="10" spans="1:19" ht="36" x14ac:dyDescent="0.35">
      <c r="A10" s="8"/>
      <c r="B10" s="3">
        <v>2240</v>
      </c>
      <c r="C10" s="24" t="s">
        <v>34</v>
      </c>
      <c r="D10" s="4">
        <f t="shared" si="0"/>
        <v>197.29999999999998</v>
      </c>
      <c r="E10" s="7">
        <v>4.5999999999999996</v>
      </c>
      <c r="F10" s="7">
        <v>9</v>
      </c>
      <c r="G10" s="7">
        <v>9</v>
      </c>
      <c r="H10" s="7">
        <v>85</v>
      </c>
      <c r="I10" s="7">
        <v>18</v>
      </c>
      <c r="J10" s="7">
        <v>18</v>
      </c>
      <c r="K10" s="7">
        <v>18</v>
      </c>
      <c r="L10" s="7">
        <v>18</v>
      </c>
      <c r="M10" s="7">
        <v>17.7</v>
      </c>
      <c r="N10" s="7"/>
      <c r="O10" s="7"/>
      <c r="P10" s="7"/>
      <c r="Q10" s="4">
        <v>1212.8</v>
      </c>
      <c r="R10" s="4">
        <v>1069.3</v>
      </c>
    </row>
    <row r="11" spans="1:19" x14ac:dyDescent="0.35">
      <c r="A11" s="8"/>
      <c r="B11" s="54">
        <v>2250</v>
      </c>
      <c r="C11" s="55" t="s">
        <v>44</v>
      </c>
      <c r="D11" s="56">
        <f>SUM(E11:P11)</f>
        <v>1166</v>
      </c>
      <c r="E11" s="19"/>
      <c r="F11" s="19">
        <v>20</v>
      </c>
      <c r="G11" s="19">
        <v>20</v>
      </c>
      <c r="H11" s="19">
        <v>250</v>
      </c>
      <c r="I11" s="19">
        <v>200</v>
      </c>
      <c r="J11" s="19">
        <v>200</v>
      </c>
      <c r="K11" s="19">
        <v>150</v>
      </c>
      <c r="L11" s="19">
        <v>100</v>
      </c>
      <c r="M11" s="19">
        <v>100</v>
      </c>
      <c r="N11" s="19">
        <v>100</v>
      </c>
      <c r="O11" s="19">
        <v>26</v>
      </c>
      <c r="P11" s="19"/>
      <c r="Q11" s="56">
        <v>1000</v>
      </c>
      <c r="R11" s="56">
        <v>613</v>
      </c>
    </row>
    <row r="12" spans="1:19" ht="36" x14ac:dyDescent="0.35">
      <c r="A12" s="8"/>
      <c r="B12" s="57">
        <v>2270</v>
      </c>
      <c r="C12" s="61" t="s">
        <v>35</v>
      </c>
      <c r="D12" s="58" t="e">
        <f>D13+D14+D15+#REF!</f>
        <v>#REF!</v>
      </c>
      <c r="E12" s="58" t="e">
        <f>E13+E14+E15+#REF!</f>
        <v>#REF!</v>
      </c>
      <c r="F12" s="58" t="e">
        <f>F13+F14+F15+#REF!</f>
        <v>#REF!</v>
      </c>
      <c r="G12" s="58" t="e">
        <f>G13+G14+G15+#REF!</f>
        <v>#REF!</v>
      </c>
      <c r="H12" s="58" t="e">
        <f>H13+H14+H15+#REF!</f>
        <v>#REF!</v>
      </c>
      <c r="I12" s="58" t="e">
        <f>I13+I14+I15+#REF!</f>
        <v>#REF!</v>
      </c>
      <c r="J12" s="58" t="e">
        <f>J13+J14+J15+#REF!</f>
        <v>#REF!</v>
      </c>
      <c r="K12" s="58" t="e">
        <f>K13+K14+K15+#REF!</f>
        <v>#REF!</v>
      </c>
      <c r="L12" s="58" t="e">
        <f>L13+L14+L15+#REF!</f>
        <v>#REF!</v>
      </c>
      <c r="M12" s="58" t="e">
        <f>M13+M14+M15+#REF!</f>
        <v>#REF!</v>
      </c>
      <c r="N12" s="58" t="e">
        <f>N13+N14+N15+#REF!</f>
        <v>#REF!</v>
      </c>
      <c r="O12" s="58" t="e">
        <f>O13+O14+O15+#REF!</f>
        <v>#REF!</v>
      </c>
      <c r="P12" s="58" t="e">
        <f>P13+P14+P15+#REF!</f>
        <v>#REF!</v>
      </c>
      <c r="Q12" s="58">
        <f>Q13+Q14+Q15</f>
        <v>8650</v>
      </c>
      <c r="R12" s="58">
        <f>R13+R14+R15</f>
        <v>2573.5860000000002</v>
      </c>
      <c r="S12" s="5" t="e">
        <f>R13+R14+R15+#REF!</f>
        <v>#REF!</v>
      </c>
    </row>
    <row r="13" spans="1:19" x14ac:dyDescent="0.35">
      <c r="A13" s="8"/>
      <c r="B13" s="3">
        <v>2271</v>
      </c>
      <c r="C13" s="26" t="s">
        <v>39</v>
      </c>
      <c r="D13" s="4">
        <v>3553.1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4">
        <v>6800</v>
      </c>
      <c r="R13" s="4">
        <v>2048.1999999999998</v>
      </c>
      <c r="S13" s="5"/>
    </row>
    <row r="14" spans="1:19" ht="36" x14ac:dyDescent="0.35">
      <c r="A14" s="8"/>
      <c r="B14" s="3">
        <v>2272</v>
      </c>
      <c r="C14" s="25" t="s">
        <v>40</v>
      </c>
      <c r="D14" s="4">
        <v>316.5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4">
        <v>450</v>
      </c>
      <c r="R14" s="4">
        <v>175.84700000000001</v>
      </c>
      <c r="S14" s="5"/>
    </row>
    <row r="15" spans="1:19" x14ac:dyDescent="0.35">
      <c r="A15" s="8"/>
      <c r="B15" s="3">
        <v>2273</v>
      </c>
      <c r="C15" s="26" t="s">
        <v>41</v>
      </c>
      <c r="D15" s="4">
        <v>609.4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>
        <v>1400</v>
      </c>
      <c r="R15" s="4">
        <v>349.53899999999999</v>
      </c>
      <c r="S15" s="5"/>
    </row>
    <row r="16" spans="1:19" x14ac:dyDescent="0.35">
      <c r="A16" s="8"/>
      <c r="B16" s="12"/>
      <c r="C16" s="12"/>
      <c r="D16" s="9" t="e">
        <f>D6+D7+D8+D9+D10+D11+D12</f>
        <v>#REF!</v>
      </c>
      <c r="E16" s="9" t="e">
        <f t="shared" ref="E16:P16" si="1">E6+E7+E8+E9+E10+E11+E12</f>
        <v>#REF!</v>
      </c>
      <c r="F16" s="9" t="e">
        <f t="shared" si="1"/>
        <v>#REF!</v>
      </c>
      <c r="G16" s="9" t="e">
        <f t="shared" si="1"/>
        <v>#REF!</v>
      </c>
      <c r="H16" s="9" t="e">
        <f t="shared" si="1"/>
        <v>#REF!</v>
      </c>
      <c r="I16" s="9" t="e">
        <f t="shared" si="1"/>
        <v>#REF!</v>
      </c>
      <c r="J16" s="9" t="e">
        <f t="shared" si="1"/>
        <v>#REF!</v>
      </c>
      <c r="K16" s="9" t="e">
        <f t="shared" si="1"/>
        <v>#REF!</v>
      </c>
      <c r="L16" s="9" t="e">
        <f t="shared" si="1"/>
        <v>#REF!</v>
      </c>
      <c r="M16" s="9" t="e">
        <f t="shared" si="1"/>
        <v>#REF!</v>
      </c>
      <c r="N16" s="9" t="e">
        <f t="shared" si="1"/>
        <v>#REF!</v>
      </c>
      <c r="O16" s="9" t="e">
        <f t="shared" si="1"/>
        <v>#REF!</v>
      </c>
      <c r="P16" s="9" t="e">
        <f t="shared" si="1"/>
        <v>#REF!</v>
      </c>
      <c r="Q16" s="81">
        <f>Q6+Q7+Q8+Q9+Q10+Q11+Q12</f>
        <v>37678.799999999996</v>
      </c>
      <c r="R16" s="81">
        <f t="shared" ref="R16" si="2">R6+R7+R8+R9+R10+R11+R12</f>
        <v>21689.796999999999</v>
      </c>
      <c r="S16" s="5"/>
    </row>
    <row r="17" spans="2:4" x14ac:dyDescent="0.35">
      <c r="B17" s="22"/>
      <c r="C17" s="22"/>
      <c r="D17" s="22"/>
    </row>
    <row r="18" spans="2:4" x14ac:dyDescent="0.35">
      <c r="B18" s="22"/>
      <c r="C18" s="22"/>
      <c r="D18" s="22"/>
    </row>
    <row r="19" spans="2:4" x14ac:dyDescent="0.35">
      <c r="B19" s="22"/>
      <c r="C19" s="22"/>
      <c r="D19" s="22"/>
    </row>
    <row r="20" spans="2:4" x14ac:dyDescent="0.35">
      <c r="B20" s="22"/>
      <c r="C20" s="22"/>
      <c r="D20" s="22"/>
    </row>
    <row r="21" spans="2:4" x14ac:dyDescent="0.35">
      <c r="B21" s="22"/>
      <c r="C21" s="22"/>
      <c r="D21" s="22"/>
    </row>
    <row r="22" spans="2:4" x14ac:dyDescent="0.35">
      <c r="B22" s="22"/>
      <c r="C22" s="22"/>
      <c r="D22" s="22"/>
    </row>
    <row r="23" spans="2:4" x14ac:dyDescent="0.35">
      <c r="B23" s="22"/>
      <c r="C23" s="22"/>
      <c r="D23" s="22"/>
    </row>
    <row r="24" spans="2:4" x14ac:dyDescent="0.35">
      <c r="B24" s="22"/>
      <c r="C24" s="22"/>
      <c r="D24" s="22"/>
    </row>
    <row r="25" spans="2:4" x14ac:dyDescent="0.35">
      <c r="B25" s="22"/>
      <c r="C25" s="22"/>
      <c r="D25" s="22"/>
    </row>
    <row r="26" spans="2:4" x14ac:dyDescent="0.35">
      <c r="B26" s="22"/>
      <c r="C26" s="22"/>
      <c r="D26" s="22"/>
    </row>
    <row r="27" spans="2:4" x14ac:dyDescent="0.35">
      <c r="B27" s="22"/>
      <c r="C27" s="22"/>
      <c r="D27" s="22"/>
    </row>
    <row r="28" spans="2:4" x14ac:dyDescent="0.35">
      <c r="B28" s="22"/>
      <c r="C28" s="22"/>
      <c r="D28" s="22"/>
    </row>
    <row r="29" spans="2:4" x14ac:dyDescent="0.35">
      <c r="B29" s="22"/>
      <c r="C29" s="22"/>
      <c r="D29" s="22"/>
    </row>
    <row r="30" spans="2:4" x14ac:dyDescent="0.35">
      <c r="B30" s="22"/>
      <c r="C30" s="22"/>
      <c r="D30" s="22"/>
    </row>
    <row r="31" spans="2:4" x14ac:dyDescent="0.35">
      <c r="B31" s="22"/>
      <c r="C31" s="22"/>
      <c r="D31" s="22"/>
    </row>
    <row r="32" spans="2:4" x14ac:dyDescent="0.35">
      <c r="B32" s="22"/>
      <c r="C32" s="22"/>
      <c r="D32" s="22"/>
    </row>
    <row r="33" spans="2:4" x14ac:dyDescent="0.35">
      <c r="B33" s="22"/>
      <c r="C33" s="22"/>
      <c r="D33" s="22"/>
    </row>
    <row r="34" spans="2:4" x14ac:dyDescent="0.35">
      <c r="B34" s="22"/>
      <c r="C34" s="22"/>
      <c r="D34" s="22"/>
    </row>
    <row r="35" spans="2:4" x14ac:dyDescent="0.35">
      <c r="B35" s="22"/>
      <c r="C35" s="22"/>
      <c r="D35" s="22"/>
    </row>
    <row r="36" spans="2:4" x14ac:dyDescent="0.35">
      <c r="B36" s="22"/>
      <c r="C36" s="22"/>
      <c r="D36" s="22"/>
    </row>
    <row r="37" spans="2:4" x14ac:dyDescent="0.35">
      <c r="B37" s="22"/>
      <c r="C37" s="22"/>
      <c r="D37" s="22"/>
    </row>
    <row r="38" spans="2:4" x14ac:dyDescent="0.35">
      <c r="B38" s="22"/>
      <c r="C38" s="22"/>
      <c r="D38" s="22"/>
    </row>
    <row r="39" spans="2:4" x14ac:dyDescent="0.35">
      <c r="B39" s="22"/>
      <c r="C39" s="22"/>
      <c r="D39" s="22"/>
    </row>
    <row r="40" spans="2:4" x14ac:dyDescent="0.35">
      <c r="B40" s="22"/>
      <c r="C40" s="22"/>
      <c r="D40" s="22"/>
    </row>
    <row r="41" spans="2:4" x14ac:dyDescent="0.35">
      <c r="B41" s="22"/>
      <c r="C41" s="22"/>
      <c r="D41" s="22"/>
    </row>
    <row r="42" spans="2:4" x14ac:dyDescent="0.35">
      <c r="B42" s="22"/>
      <c r="C42" s="22"/>
      <c r="D42" s="22"/>
    </row>
    <row r="43" spans="2:4" x14ac:dyDescent="0.35">
      <c r="B43" s="22"/>
      <c r="C43" s="22"/>
      <c r="D43" s="22"/>
    </row>
    <row r="44" spans="2:4" x14ac:dyDescent="0.35">
      <c r="B44" s="22"/>
      <c r="C44" s="22"/>
      <c r="D44" s="22"/>
    </row>
    <row r="45" spans="2:4" x14ac:dyDescent="0.35">
      <c r="B45" s="22"/>
      <c r="C45" s="22"/>
      <c r="D45" s="22"/>
    </row>
    <row r="46" spans="2:4" x14ac:dyDescent="0.35">
      <c r="B46" s="22"/>
      <c r="C46" s="22"/>
      <c r="D46" s="22"/>
    </row>
    <row r="47" spans="2:4" x14ac:dyDescent="0.35">
      <c r="B47" s="22"/>
      <c r="C47" s="22"/>
      <c r="D47" s="22"/>
    </row>
    <row r="48" spans="2:4" x14ac:dyDescent="0.35">
      <c r="B48" s="22"/>
      <c r="C48" s="22"/>
      <c r="D48" s="22"/>
    </row>
    <row r="49" spans="2:4" x14ac:dyDescent="0.35">
      <c r="B49" s="22"/>
      <c r="C49" s="22"/>
      <c r="D49" s="22"/>
    </row>
    <row r="50" spans="2:4" x14ac:dyDescent="0.35">
      <c r="B50" s="22"/>
      <c r="C50" s="22"/>
      <c r="D50" s="22"/>
    </row>
    <row r="51" spans="2:4" x14ac:dyDescent="0.35">
      <c r="B51" s="22"/>
      <c r="C51" s="22"/>
      <c r="D51" s="22"/>
    </row>
    <row r="52" spans="2:4" x14ac:dyDescent="0.35">
      <c r="B52" s="22"/>
      <c r="C52" s="22"/>
      <c r="D52" s="22"/>
    </row>
    <row r="53" spans="2:4" x14ac:dyDescent="0.35">
      <c r="B53" s="22"/>
      <c r="C53" s="22"/>
      <c r="D53" s="22"/>
    </row>
    <row r="54" spans="2:4" x14ac:dyDescent="0.35">
      <c r="B54" s="22"/>
      <c r="C54" s="22"/>
      <c r="D54" s="22"/>
    </row>
    <row r="55" spans="2:4" x14ac:dyDescent="0.35">
      <c r="B55" s="22"/>
      <c r="C55" s="22"/>
      <c r="D55" s="22"/>
    </row>
    <row r="56" spans="2:4" x14ac:dyDescent="0.35">
      <c r="B56" s="22"/>
      <c r="C56" s="22"/>
      <c r="D56" s="22"/>
    </row>
    <row r="57" spans="2:4" x14ac:dyDescent="0.35">
      <c r="B57" s="22"/>
      <c r="C57" s="22"/>
      <c r="D57" s="22"/>
    </row>
    <row r="58" spans="2:4" x14ac:dyDescent="0.35">
      <c r="B58" s="22"/>
      <c r="C58" s="22"/>
      <c r="D58" s="22"/>
    </row>
    <row r="59" spans="2:4" x14ac:dyDescent="0.35">
      <c r="B59" s="22"/>
      <c r="C59" s="22"/>
      <c r="D59" s="22"/>
    </row>
    <row r="60" spans="2:4" x14ac:dyDescent="0.35">
      <c r="B60" s="22"/>
      <c r="C60" s="22"/>
      <c r="D60" s="22"/>
    </row>
    <row r="61" spans="2:4" x14ac:dyDescent="0.35">
      <c r="B61" s="22"/>
      <c r="C61" s="22"/>
      <c r="D61" s="22"/>
    </row>
    <row r="62" spans="2:4" x14ac:dyDescent="0.35">
      <c r="B62" s="22"/>
      <c r="C62" s="22"/>
      <c r="D62" s="22"/>
    </row>
    <row r="63" spans="2:4" x14ac:dyDescent="0.35">
      <c r="B63" s="22"/>
      <c r="C63" s="22"/>
      <c r="D63" s="22"/>
    </row>
    <row r="64" spans="2:4" x14ac:dyDescent="0.35">
      <c r="B64" s="22"/>
      <c r="C64" s="22"/>
      <c r="D64" s="22"/>
    </row>
    <row r="65" spans="2:4" x14ac:dyDescent="0.35">
      <c r="B65" s="22"/>
      <c r="C65" s="22"/>
      <c r="D65" s="22"/>
    </row>
    <row r="66" spans="2:4" x14ac:dyDescent="0.35">
      <c r="B66" s="22"/>
      <c r="C66" s="22"/>
      <c r="D66" s="22"/>
    </row>
    <row r="67" spans="2:4" x14ac:dyDescent="0.35">
      <c r="B67" s="22"/>
      <c r="C67" s="22"/>
      <c r="D67" s="22"/>
    </row>
    <row r="68" spans="2:4" x14ac:dyDescent="0.35">
      <c r="B68" s="22"/>
      <c r="C68" s="22"/>
      <c r="D68" s="22"/>
    </row>
    <row r="69" spans="2:4" x14ac:dyDescent="0.35">
      <c r="B69" s="22"/>
      <c r="C69" s="22"/>
      <c r="D69" s="22"/>
    </row>
    <row r="70" spans="2:4" x14ac:dyDescent="0.35">
      <c r="B70" s="22"/>
      <c r="C70" s="22"/>
      <c r="D70" s="22"/>
    </row>
    <row r="71" spans="2:4" x14ac:dyDescent="0.35">
      <c r="B71" s="22"/>
      <c r="C71" s="22"/>
      <c r="D71" s="22"/>
    </row>
    <row r="72" spans="2:4" x14ac:dyDescent="0.35">
      <c r="B72" s="22"/>
      <c r="C72" s="22"/>
      <c r="D72" s="22"/>
    </row>
    <row r="73" spans="2:4" x14ac:dyDescent="0.35">
      <c r="B73" s="22"/>
      <c r="C73" s="22"/>
      <c r="D73" s="22"/>
    </row>
    <row r="74" spans="2:4" x14ac:dyDescent="0.35">
      <c r="B74" s="22"/>
      <c r="C74" s="22"/>
      <c r="D74" s="22"/>
    </row>
    <row r="75" spans="2:4" x14ac:dyDescent="0.35">
      <c r="B75" s="22"/>
      <c r="C75" s="22"/>
      <c r="D75" s="22"/>
    </row>
    <row r="76" spans="2:4" x14ac:dyDescent="0.35">
      <c r="B76" s="22"/>
      <c r="C76" s="22"/>
      <c r="D76" s="22"/>
    </row>
    <row r="77" spans="2:4" x14ac:dyDescent="0.35">
      <c r="B77" s="22"/>
      <c r="C77" s="22"/>
      <c r="D77" s="22"/>
    </row>
    <row r="78" spans="2:4" x14ac:dyDescent="0.35">
      <c r="B78" s="22"/>
      <c r="C78" s="22"/>
      <c r="D78" s="22"/>
    </row>
    <row r="79" spans="2:4" x14ac:dyDescent="0.35">
      <c r="B79" s="22"/>
      <c r="C79" s="22"/>
      <c r="D79" s="22"/>
    </row>
    <row r="80" spans="2:4" x14ac:dyDescent="0.35">
      <c r="B80" s="22"/>
      <c r="C80" s="22"/>
      <c r="D80" s="22"/>
    </row>
    <row r="81" spans="2:4" x14ac:dyDescent="0.35">
      <c r="B81" s="22"/>
      <c r="C81" s="22"/>
      <c r="D81" s="22"/>
    </row>
    <row r="82" spans="2:4" x14ac:dyDescent="0.35">
      <c r="B82" s="22"/>
      <c r="C82" s="22"/>
      <c r="D82" s="22"/>
    </row>
    <row r="83" spans="2:4" x14ac:dyDescent="0.35">
      <c r="B83" s="22"/>
      <c r="C83" s="22"/>
      <c r="D83" s="22"/>
    </row>
    <row r="84" spans="2:4" x14ac:dyDescent="0.35">
      <c r="B84" s="22"/>
      <c r="C84" s="22"/>
      <c r="D84" s="22"/>
    </row>
    <row r="85" spans="2:4" x14ac:dyDescent="0.35">
      <c r="B85" s="22"/>
      <c r="C85" s="22"/>
      <c r="D85" s="22"/>
    </row>
    <row r="86" spans="2:4" x14ac:dyDescent="0.35">
      <c r="B86" s="22"/>
      <c r="C86" s="22"/>
      <c r="D86" s="22"/>
    </row>
    <row r="87" spans="2:4" x14ac:dyDescent="0.35">
      <c r="B87" s="22"/>
      <c r="C87" s="22"/>
      <c r="D87" s="22"/>
    </row>
    <row r="88" spans="2:4" x14ac:dyDescent="0.35">
      <c r="B88" s="22"/>
      <c r="C88" s="22"/>
      <c r="D88" s="22"/>
    </row>
    <row r="89" spans="2:4" x14ac:dyDescent="0.35">
      <c r="B89" s="22"/>
      <c r="C89" s="22"/>
      <c r="D89" s="22"/>
    </row>
    <row r="90" spans="2:4" x14ac:dyDescent="0.35">
      <c r="B90" s="22"/>
      <c r="C90" s="22"/>
    </row>
  </sheetData>
  <mergeCells count="3">
    <mergeCell ref="A1:R1"/>
    <mergeCell ref="A2:R2"/>
    <mergeCell ref="A3:R3"/>
  </mergeCells>
  <pageMargins left="0.9055118110236221" right="0.70866141732283472" top="0.74803149606299213" bottom="0.74803149606299213" header="0.31496062992125984" footer="0.31496062992125984"/>
  <pageSetup paperSize="9" scale="8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0"/>
  <sheetViews>
    <sheetView zoomScaleNormal="100" workbookViewId="0">
      <selection activeCell="A3" sqref="A3:Q3"/>
    </sheetView>
  </sheetViews>
  <sheetFormatPr defaultColWidth="9.109375" defaultRowHeight="18" x14ac:dyDescent="0.35"/>
  <cols>
    <col min="1" max="1" width="9.33203125" style="1" customWidth="1"/>
    <col min="2" max="2" width="13.109375" style="1" customWidth="1"/>
    <col min="3" max="3" width="26.77734375" style="82" customWidth="1"/>
    <col min="4" max="4" width="13.5546875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4" style="1" customWidth="1"/>
    <col min="17" max="17" width="21.109375" style="1" customWidth="1"/>
    <col min="18" max="16384" width="9.109375" style="1"/>
  </cols>
  <sheetData>
    <row r="1" spans="1:18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18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x14ac:dyDescent="0.35">
      <c r="A3" s="101" t="s">
        <v>84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8" x14ac:dyDescent="0.35">
      <c r="D4" s="23"/>
      <c r="Q4" s="23" t="s">
        <v>27</v>
      </c>
    </row>
    <row r="5" spans="1:18" ht="38.25" customHeight="1" x14ac:dyDescent="0.35">
      <c r="A5" s="3" t="s">
        <v>0</v>
      </c>
      <c r="B5" s="3" t="s">
        <v>1</v>
      </c>
      <c r="C5" s="83" t="s">
        <v>32</v>
      </c>
      <c r="D5" s="31" t="s">
        <v>38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72</v>
      </c>
      <c r="Q5" s="18" t="s">
        <v>51</v>
      </c>
    </row>
    <row r="6" spans="1:18" ht="70.2" customHeight="1" x14ac:dyDescent="0.35">
      <c r="A6" s="8">
        <v>70807</v>
      </c>
      <c r="B6" s="3">
        <v>2610</v>
      </c>
      <c r="C6" s="97" t="s">
        <v>81</v>
      </c>
      <c r="D6" s="4">
        <f>SUM(E6:O6)</f>
        <v>130</v>
      </c>
      <c r="E6" s="7"/>
      <c r="F6" s="7">
        <v>8</v>
      </c>
      <c r="G6" s="7">
        <v>25</v>
      </c>
      <c r="H6" s="7">
        <v>15</v>
      </c>
      <c r="I6" s="7"/>
      <c r="J6" s="7"/>
      <c r="K6" s="7"/>
      <c r="L6" s="7"/>
      <c r="M6" s="7"/>
      <c r="N6" s="7">
        <v>32</v>
      </c>
      <c r="O6" s="7">
        <v>50</v>
      </c>
      <c r="P6" s="4">
        <v>12034</v>
      </c>
      <c r="Q6" s="4">
        <v>4206.0959999999995</v>
      </c>
    </row>
    <row r="7" spans="1:18" x14ac:dyDescent="0.35">
      <c r="A7" s="8"/>
      <c r="B7" s="12"/>
      <c r="C7" s="88"/>
      <c r="D7" s="9" t="e">
        <f>#REF!+#REF!+#REF!+#REF!+#REF!+D6</f>
        <v>#REF!</v>
      </c>
      <c r="E7" s="9" t="e">
        <f>#REF!+#REF!+#REF!+#REF!+#REF!+E6</f>
        <v>#REF!</v>
      </c>
      <c r="F7" s="9" t="e">
        <f>#REF!+#REF!+#REF!+#REF!+#REF!+F6</f>
        <v>#REF!</v>
      </c>
      <c r="G7" s="9" t="e">
        <f>#REF!+#REF!+#REF!+#REF!+#REF!+G6</f>
        <v>#REF!</v>
      </c>
      <c r="H7" s="9" t="e">
        <f>#REF!+#REF!+#REF!+#REF!+#REF!+H6</f>
        <v>#REF!</v>
      </c>
      <c r="I7" s="9" t="e">
        <f>#REF!+#REF!+#REF!+#REF!+#REF!+I6</f>
        <v>#REF!</v>
      </c>
      <c r="J7" s="9" t="e">
        <f>#REF!+#REF!+#REF!+#REF!+#REF!+J6</f>
        <v>#REF!</v>
      </c>
      <c r="K7" s="9" t="e">
        <f>#REF!+#REF!+#REF!+#REF!+#REF!+K6</f>
        <v>#REF!</v>
      </c>
      <c r="L7" s="9" t="e">
        <f>#REF!+#REF!+#REF!+#REF!+#REF!+L6</f>
        <v>#REF!</v>
      </c>
      <c r="M7" s="9" t="e">
        <f>#REF!+#REF!+#REF!+#REF!+#REF!+M6</f>
        <v>#REF!</v>
      </c>
      <c r="N7" s="9" t="e">
        <f>#REF!+#REF!+#REF!+#REF!+#REF!+N6</f>
        <v>#REF!</v>
      </c>
      <c r="O7" s="9" t="e">
        <f>#REF!+#REF!+#REF!+#REF!+#REF!+O6</f>
        <v>#REF!</v>
      </c>
      <c r="P7" s="9">
        <f>P6</f>
        <v>12034</v>
      </c>
      <c r="Q7" s="9">
        <f>Q6</f>
        <v>4206.0959999999995</v>
      </c>
    </row>
    <row r="8" spans="1:18" ht="18.75" x14ac:dyDescent="0.3">
      <c r="B8" s="94"/>
      <c r="D8" s="94"/>
    </row>
    <row r="9" spans="1:18" ht="18.75" x14ac:dyDescent="0.3">
      <c r="B9" s="94"/>
      <c r="D9" s="94"/>
    </row>
    <row r="10" spans="1:18" ht="18.75" x14ac:dyDescent="0.3">
      <c r="B10" s="94"/>
      <c r="D10" s="94"/>
    </row>
    <row r="11" spans="1:18" ht="18.75" x14ac:dyDescent="0.3">
      <c r="B11" s="94"/>
      <c r="D11" s="94"/>
    </row>
    <row r="12" spans="1:18" ht="18.75" x14ac:dyDescent="0.3">
      <c r="B12" s="94"/>
      <c r="D12" s="94"/>
    </row>
    <row r="13" spans="1:18" ht="18.75" x14ac:dyDescent="0.3">
      <c r="B13" s="94"/>
      <c r="D13" s="94"/>
    </row>
    <row r="14" spans="1:18" ht="18.75" x14ac:dyDescent="0.3">
      <c r="B14" s="94"/>
      <c r="D14" s="94"/>
    </row>
    <row r="15" spans="1:18" ht="18.75" x14ac:dyDescent="0.3">
      <c r="B15" s="94"/>
      <c r="D15" s="94"/>
    </row>
    <row r="16" spans="1:18" x14ac:dyDescent="0.35">
      <c r="B16" s="94"/>
      <c r="D16" s="94"/>
    </row>
    <row r="17" spans="2:4" x14ac:dyDescent="0.35">
      <c r="B17" s="94"/>
      <c r="D17" s="94"/>
    </row>
    <row r="18" spans="2:4" x14ac:dyDescent="0.35">
      <c r="B18" s="94"/>
      <c r="D18" s="94"/>
    </row>
    <row r="19" spans="2:4" x14ac:dyDescent="0.35">
      <c r="B19" s="94"/>
      <c r="D19" s="94"/>
    </row>
    <row r="20" spans="2:4" x14ac:dyDescent="0.35">
      <c r="B20" s="94"/>
      <c r="D20" s="94"/>
    </row>
    <row r="21" spans="2:4" x14ac:dyDescent="0.35">
      <c r="B21" s="94"/>
      <c r="D21" s="94"/>
    </row>
    <row r="22" spans="2:4" x14ac:dyDescent="0.35">
      <c r="B22" s="94"/>
      <c r="D22" s="94"/>
    </row>
    <row r="23" spans="2:4" x14ac:dyDescent="0.35">
      <c r="B23" s="94"/>
      <c r="D23" s="94"/>
    </row>
    <row r="24" spans="2:4" x14ac:dyDescent="0.35">
      <c r="B24" s="94"/>
      <c r="D24" s="94"/>
    </row>
    <row r="25" spans="2:4" x14ac:dyDescent="0.35">
      <c r="B25" s="94"/>
      <c r="D25" s="94"/>
    </row>
    <row r="26" spans="2:4" x14ac:dyDescent="0.35">
      <c r="B26" s="94"/>
      <c r="D26" s="94"/>
    </row>
    <row r="27" spans="2:4" x14ac:dyDescent="0.35">
      <c r="B27" s="94"/>
      <c r="D27" s="94"/>
    </row>
    <row r="28" spans="2:4" x14ac:dyDescent="0.35">
      <c r="B28" s="94"/>
      <c r="D28" s="94"/>
    </row>
    <row r="29" spans="2:4" x14ac:dyDescent="0.35">
      <c r="B29" s="94"/>
      <c r="D29" s="94"/>
    </row>
    <row r="30" spans="2:4" x14ac:dyDescent="0.35">
      <c r="B30" s="94"/>
      <c r="D30" s="94"/>
    </row>
    <row r="31" spans="2:4" x14ac:dyDescent="0.35">
      <c r="B31" s="94"/>
      <c r="D31" s="94"/>
    </row>
    <row r="32" spans="2:4" x14ac:dyDescent="0.35">
      <c r="B32" s="94"/>
      <c r="D32" s="94"/>
    </row>
    <row r="33" spans="2:4" x14ac:dyDescent="0.35">
      <c r="B33" s="94"/>
      <c r="D33" s="94"/>
    </row>
    <row r="34" spans="2:4" x14ac:dyDescent="0.35">
      <c r="B34" s="94"/>
      <c r="D34" s="94"/>
    </row>
    <row r="35" spans="2:4" x14ac:dyDescent="0.35">
      <c r="B35" s="94"/>
      <c r="D35" s="94"/>
    </row>
    <row r="36" spans="2:4" x14ac:dyDescent="0.35">
      <c r="B36" s="94"/>
      <c r="D36" s="94"/>
    </row>
    <row r="37" spans="2:4" x14ac:dyDescent="0.35">
      <c r="B37" s="94"/>
      <c r="D37" s="94"/>
    </row>
    <row r="38" spans="2:4" x14ac:dyDescent="0.35">
      <c r="B38" s="94"/>
      <c r="D38" s="94"/>
    </row>
    <row r="39" spans="2:4" x14ac:dyDescent="0.35">
      <c r="B39" s="94"/>
      <c r="D39" s="94"/>
    </row>
    <row r="40" spans="2:4" x14ac:dyDescent="0.35">
      <c r="B40" s="94"/>
      <c r="D40" s="94"/>
    </row>
    <row r="41" spans="2:4" x14ac:dyDescent="0.35">
      <c r="B41" s="94"/>
      <c r="D41" s="94"/>
    </row>
    <row r="42" spans="2:4" x14ac:dyDescent="0.35">
      <c r="B42" s="94"/>
      <c r="D42" s="94"/>
    </row>
    <row r="43" spans="2:4" x14ac:dyDescent="0.35">
      <c r="B43" s="94"/>
      <c r="D43" s="94"/>
    </row>
    <row r="44" spans="2:4" x14ac:dyDescent="0.35">
      <c r="B44" s="94"/>
      <c r="D44" s="94"/>
    </row>
    <row r="45" spans="2:4" x14ac:dyDescent="0.35">
      <c r="B45" s="94"/>
      <c r="D45" s="94"/>
    </row>
    <row r="46" spans="2:4" x14ac:dyDescent="0.35">
      <c r="B46" s="94"/>
      <c r="D46" s="94"/>
    </row>
    <row r="47" spans="2:4" x14ac:dyDescent="0.35">
      <c r="B47" s="94"/>
      <c r="D47" s="94"/>
    </row>
    <row r="48" spans="2:4" x14ac:dyDescent="0.35">
      <c r="B48" s="94"/>
      <c r="D48" s="94"/>
    </row>
    <row r="49" spans="2:4" x14ac:dyDescent="0.35">
      <c r="B49" s="94"/>
      <c r="D49" s="94"/>
    </row>
    <row r="50" spans="2:4" x14ac:dyDescent="0.35">
      <c r="B50" s="94"/>
      <c r="D50" s="94"/>
    </row>
    <row r="51" spans="2:4" x14ac:dyDescent="0.35">
      <c r="B51" s="94"/>
      <c r="D51" s="94"/>
    </row>
    <row r="52" spans="2:4" x14ac:dyDescent="0.35">
      <c r="B52" s="94"/>
      <c r="D52" s="94"/>
    </row>
    <row r="53" spans="2:4" x14ac:dyDescent="0.35">
      <c r="B53" s="94"/>
      <c r="D53" s="94"/>
    </row>
    <row r="54" spans="2:4" x14ac:dyDescent="0.35">
      <c r="B54" s="94"/>
      <c r="D54" s="94"/>
    </row>
    <row r="55" spans="2:4" x14ac:dyDescent="0.35">
      <c r="B55" s="94"/>
      <c r="D55" s="94"/>
    </row>
    <row r="56" spans="2:4" x14ac:dyDescent="0.35">
      <c r="B56" s="94"/>
      <c r="D56" s="94"/>
    </row>
    <row r="57" spans="2:4" x14ac:dyDescent="0.35">
      <c r="B57" s="94"/>
      <c r="D57" s="94"/>
    </row>
    <row r="58" spans="2:4" x14ac:dyDescent="0.35">
      <c r="B58" s="94"/>
      <c r="D58" s="94"/>
    </row>
    <row r="59" spans="2:4" x14ac:dyDescent="0.35">
      <c r="B59" s="94"/>
      <c r="D59" s="94"/>
    </row>
    <row r="60" spans="2:4" x14ac:dyDescent="0.35">
      <c r="B60" s="94"/>
      <c r="D60" s="94"/>
    </row>
    <row r="61" spans="2:4" x14ac:dyDescent="0.35">
      <c r="B61" s="94"/>
      <c r="D61" s="94"/>
    </row>
    <row r="62" spans="2:4" x14ac:dyDescent="0.35">
      <c r="B62" s="94"/>
      <c r="D62" s="94"/>
    </row>
    <row r="63" spans="2:4" x14ac:dyDescent="0.35">
      <c r="B63" s="94"/>
      <c r="D63" s="94"/>
    </row>
    <row r="64" spans="2:4" x14ac:dyDescent="0.35">
      <c r="B64" s="94"/>
      <c r="D64" s="94"/>
    </row>
    <row r="65" spans="2:4" x14ac:dyDescent="0.35">
      <c r="B65" s="94"/>
      <c r="D65" s="94"/>
    </row>
    <row r="66" spans="2:4" x14ac:dyDescent="0.35">
      <c r="B66" s="94"/>
      <c r="D66" s="94"/>
    </row>
    <row r="67" spans="2:4" x14ac:dyDescent="0.35">
      <c r="B67" s="94"/>
      <c r="D67" s="94"/>
    </row>
    <row r="68" spans="2:4" x14ac:dyDescent="0.35">
      <c r="B68" s="94"/>
      <c r="D68" s="94"/>
    </row>
    <row r="69" spans="2:4" x14ac:dyDescent="0.35">
      <c r="B69" s="94"/>
      <c r="D69" s="94"/>
    </row>
    <row r="70" spans="2:4" x14ac:dyDescent="0.35">
      <c r="B70" s="94"/>
      <c r="D70" s="94"/>
    </row>
    <row r="71" spans="2:4" x14ac:dyDescent="0.35">
      <c r="B71" s="94"/>
      <c r="D71" s="94"/>
    </row>
    <row r="72" spans="2:4" x14ac:dyDescent="0.35">
      <c r="B72" s="94"/>
      <c r="D72" s="94"/>
    </row>
    <row r="73" spans="2:4" x14ac:dyDescent="0.35">
      <c r="B73" s="94"/>
      <c r="D73" s="94"/>
    </row>
    <row r="74" spans="2:4" x14ac:dyDescent="0.35">
      <c r="B74" s="94"/>
      <c r="D74" s="94"/>
    </row>
    <row r="75" spans="2:4" x14ac:dyDescent="0.35">
      <c r="B75" s="94"/>
      <c r="D75" s="94"/>
    </row>
    <row r="76" spans="2:4" x14ac:dyDescent="0.35">
      <c r="B76" s="94"/>
      <c r="D76" s="94"/>
    </row>
    <row r="77" spans="2:4" x14ac:dyDescent="0.35">
      <c r="B77" s="94"/>
      <c r="D77" s="94"/>
    </row>
    <row r="78" spans="2:4" x14ac:dyDescent="0.35">
      <c r="B78" s="94"/>
      <c r="D78" s="94"/>
    </row>
    <row r="79" spans="2:4" x14ac:dyDescent="0.35">
      <c r="B79" s="94"/>
      <c r="D79" s="94"/>
    </row>
    <row r="80" spans="2:4" x14ac:dyDescent="0.35">
      <c r="B80" s="94"/>
    </row>
  </sheetData>
  <mergeCells count="3">
    <mergeCell ref="A1:Q1"/>
    <mergeCell ref="A3:Q3"/>
    <mergeCell ref="A2:R2"/>
  </mergeCells>
  <pageMargins left="0.9055118110236221" right="0.70866141732283472" top="0.74803149606299213" bottom="0.74803149606299213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opLeftCell="A10" zoomScaleNormal="100" workbookViewId="0">
      <selection activeCell="R6" sqref="R6"/>
    </sheetView>
  </sheetViews>
  <sheetFormatPr defaultColWidth="9.109375" defaultRowHeight="18" x14ac:dyDescent="0.35"/>
  <cols>
    <col min="1" max="1" width="8.44140625" style="1" customWidth="1"/>
    <col min="2" max="2" width="14.109375" style="1" customWidth="1"/>
    <col min="3" max="3" width="31.5546875" style="1" customWidth="1"/>
    <col min="4" max="4" width="0.109375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.44140625" style="1" hidden="1" customWidth="1"/>
    <col min="17" max="17" width="17.5546875" style="1" customWidth="1"/>
    <col min="18" max="18" width="15.88671875" style="1" customWidth="1"/>
    <col min="19" max="19" width="15.109375" style="22" customWidth="1"/>
    <col min="20" max="20" width="21" style="1" customWidth="1"/>
    <col min="21" max="21" width="16.44140625" style="1" customWidth="1"/>
    <col min="22" max="22" width="10.21875" style="1" bestFit="1" customWidth="1"/>
    <col min="23" max="16384" width="9.109375" style="1"/>
  </cols>
  <sheetData>
    <row r="1" spans="1:21" ht="20.399999999999999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21" ht="65.25" customHeight="1" x14ac:dyDescent="0.35">
      <c r="A2" s="110" t="s">
        <v>82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1" ht="18.75" x14ac:dyDescent="0.3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21" x14ac:dyDescent="0.35">
      <c r="D4" s="23"/>
      <c r="R4" s="23"/>
      <c r="S4" s="49" t="s">
        <v>66</v>
      </c>
    </row>
    <row r="5" spans="1:21" ht="78.75" customHeight="1" x14ac:dyDescent="0.35">
      <c r="A5" s="65" t="s">
        <v>0</v>
      </c>
      <c r="B5" s="65" t="s">
        <v>1</v>
      </c>
      <c r="C5" s="65" t="s">
        <v>32</v>
      </c>
      <c r="D5" s="65" t="s">
        <v>52</v>
      </c>
      <c r="E5" s="66" t="s">
        <v>2</v>
      </c>
      <c r="F5" s="66" t="s">
        <v>3</v>
      </c>
      <c r="G5" s="66" t="s">
        <v>4</v>
      </c>
      <c r="H5" s="66" t="s">
        <v>5</v>
      </c>
      <c r="I5" s="66" t="s">
        <v>6</v>
      </c>
      <c r="J5" s="66" t="s">
        <v>7</v>
      </c>
      <c r="K5" s="66" t="s">
        <v>8</v>
      </c>
      <c r="L5" s="66" t="s">
        <v>9</v>
      </c>
      <c r="M5" s="66" t="s">
        <v>10</v>
      </c>
      <c r="N5" s="66" t="s">
        <v>11</v>
      </c>
      <c r="O5" s="66" t="s">
        <v>12</v>
      </c>
      <c r="P5" s="66" t="s">
        <v>13</v>
      </c>
      <c r="Q5" s="65" t="s">
        <v>79</v>
      </c>
      <c r="R5" s="65" t="s">
        <v>80</v>
      </c>
      <c r="S5" s="65" t="s">
        <v>53</v>
      </c>
      <c r="T5" s="69"/>
    </row>
    <row r="6" spans="1:21" ht="49.5" customHeight="1" x14ac:dyDescent="0.35">
      <c r="A6" s="6">
        <v>70000</v>
      </c>
      <c r="B6" s="51" t="s">
        <v>69</v>
      </c>
      <c r="C6" s="52" t="s">
        <v>70</v>
      </c>
      <c r="D6" s="9" t="e">
        <f>'Школа екстернів'!D6+'Спорт. ліцей'!D6+Палац!D6+'Тур станція'!D6+МАН!D6+ПТУ!D6+'Грінченка 601'!D7+'Грінченка 602'!D6+#REF!+'Центр ПК'!D6+'Відділи ДОМНС 802 '!D7+'Відділи ДОМНС 803'!D6+'Відділи ДОМНС 804'!D7+'Центр моніторингу'!D6+'Будинок вчителя'!D6</f>
        <v>#REF!</v>
      </c>
      <c r="E6" s="9" t="e">
        <f>'Школа екстернів'!E6+'Спорт. ліцей'!E6+Палац!E6+'Тур станція'!E6+МАН!E6+ПТУ!E6+'Грінченка 601'!E7+'Грінченка 602'!E6+#REF!+'Центр ПК'!E6+'Відділи ДОМНС 802 '!E7+'Відділи ДОМНС 803'!E6+'Відділи ДОМНС 804'!E7+'Центр моніторингу'!E6+'Будинок вчителя'!E6</f>
        <v>#REF!</v>
      </c>
      <c r="F6" s="9" t="e">
        <f>'Школа екстернів'!F6+'Спорт. ліцей'!F6+Палац!F6+'Тур станція'!F6+МАН!F6+ПТУ!F6+'Грінченка 601'!F7+'Грінченка 602'!F6+#REF!+'Центр ПК'!F6+'Відділи ДОМНС 802 '!F7+'Відділи ДОМНС 803'!F6+'Відділи ДОМНС 804'!F7+'Центр моніторингу'!F6+'Будинок вчителя'!F6</f>
        <v>#REF!</v>
      </c>
      <c r="G6" s="9" t="e">
        <f>'Школа екстернів'!G6+'Спорт. ліцей'!G6+Палац!G6+'Тур станція'!G6+МАН!G6+ПТУ!G6+'Грінченка 601'!G7+'Грінченка 602'!G6+#REF!+'Центр ПК'!G6+'Відділи ДОМНС 802 '!G7+'Відділи ДОМНС 803'!G6+'Відділи ДОМНС 804'!G7+'Центр моніторингу'!G6+'Будинок вчителя'!G6</f>
        <v>#REF!</v>
      </c>
      <c r="H6" s="9" t="e">
        <f>'Школа екстернів'!H6+'Спорт. ліцей'!H6+Палац!H6+'Тур станція'!H6+МАН!H6+ПТУ!H6+'Грінченка 601'!H7+'Грінченка 602'!H6+#REF!+'Центр ПК'!H6+'Відділи ДОМНС 802 '!H7+'Відділи ДОМНС 803'!H6+'Відділи ДОМНС 804'!H7+'Центр моніторингу'!H6+'Будинок вчителя'!H6</f>
        <v>#REF!</v>
      </c>
      <c r="I6" s="9" t="e">
        <f>'Школа екстернів'!I6+'Спорт. ліцей'!I6+Палац!I6+'Тур станція'!I6+МАН!I6+ПТУ!I6+'Грінченка 601'!I7+'Грінченка 602'!I6+#REF!+'Центр ПК'!I6+'Відділи ДОМНС 802 '!I7+'Відділи ДОМНС 803'!I6+'Відділи ДОМНС 804'!I7+'Центр моніторингу'!I6+'Будинок вчителя'!I6</f>
        <v>#REF!</v>
      </c>
      <c r="J6" s="9" t="e">
        <f>'Школа екстернів'!J6+'Спорт. ліцей'!J6+Палац!J6+'Тур станція'!J6+МАН!J6+ПТУ!J6+'Грінченка 601'!J7+'Грінченка 602'!J6+#REF!+'Центр ПК'!J6+'Відділи ДОМНС 802 '!J7+'Відділи ДОМНС 803'!J6+'Відділи ДОМНС 804'!J7+'Центр моніторингу'!J6+'Будинок вчителя'!J6</f>
        <v>#REF!</v>
      </c>
      <c r="K6" s="9" t="e">
        <f>'Школа екстернів'!K6+'Спорт. ліцей'!K6+Палац!K6+'Тур станція'!K6+МАН!K6+ПТУ!K6+'Грінченка 601'!K7+'Грінченка 602'!K6+#REF!+'Центр ПК'!K6+'Відділи ДОМНС 802 '!K7+'Відділи ДОМНС 803'!K6+'Відділи ДОМНС 804'!K7+'Центр моніторингу'!K6+'Будинок вчителя'!K6</f>
        <v>#REF!</v>
      </c>
      <c r="L6" s="9" t="e">
        <f>'Школа екстернів'!L6+'Спорт. ліцей'!L6+Палац!L6+'Тур станція'!L6+МАН!L6+ПТУ!L6+'Грінченка 601'!L7+'Грінченка 602'!L6+#REF!+'Центр ПК'!L6+'Відділи ДОМНС 802 '!L7+'Відділи ДОМНС 803'!L6+'Відділи ДОМНС 804'!L7+'Центр моніторингу'!L6+'Будинок вчителя'!L6</f>
        <v>#REF!</v>
      </c>
      <c r="M6" s="9" t="e">
        <f>'Школа екстернів'!M6+'Спорт. ліцей'!M6+Палац!M6+'Тур станція'!M6+МАН!M6+ПТУ!M6+'Грінченка 601'!M7+'Грінченка 602'!M6+#REF!+'Центр ПК'!M6+'Відділи ДОМНС 802 '!M7+'Відділи ДОМНС 803'!M6+'Відділи ДОМНС 804'!M7+'Центр моніторингу'!M6+'Будинок вчителя'!M6</f>
        <v>#REF!</v>
      </c>
      <c r="N6" s="9" t="e">
        <f>'Школа екстернів'!N6+'Спорт. ліцей'!N6+Палац!N6+'Тур станція'!N6+МАН!N6+ПТУ!N6+'Грінченка 601'!N7+'Грінченка 602'!N6+#REF!+'Центр ПК'!N6+'Відділи ДОМНС 802 '!N7+'Відділи ДОМНС 803'!N6+'Відділи ДОМНС 804'!N7+'Центр моніторингу'!N6+'Будинок вчителя'!N6</f>
        <v>#REF!</v>
      </c>
      <c r="O6" s="9" t="e">
        <f>'Школа екстернів'!O6+'Спорт. ліцей'!O6+Палац!O6+'Тур станція'!O6+МАН!O6+ПТУ!O6+'Грінченка 601'!O7+'Грінченка 602'!O6+#REF!+'Центр ПК'!O6+'Відділи ДОМНС 802 '!O7+'Відділи ДОМНС 803'!O6+'Відділи ДОМНС 804'!O7+'Центр моніторингу'!O6+'Будинок вчителя'!O6</f>
        <v>#REF!</v>
      </c>
      <c r="P6" s="9" t="e">
        <f>'Школа екстернів'!P6+'Спорт. ліцей'!P6+Палац!#REF!+'Тур станція'!P6+МАН!P6+ПТУ!P6+'Грінченка 601'!P7+'Грінченка 602'!P6+#REF!+'Центр ПК'!P6+'Відділи ДОМНС 802 '!P7+'Відділи ДОМНС 803'!P6+'Відділи ДОМНС 804'!P7+'Центр моніторингу'!P6+'Будинок вчителя'!P6</f>
        <v>#REF!</v>
      </c>
      <c r="Q6" s="9">
        <f>'Школа екстернів'!Q6+'Спорт. ліцей'!Q6+Палац!P6+'Тур станція'!Q6+МАН!Q6+БХТТ!P6+ПТУ!Q6+'Грінченка 601'!Q7+'Грінченка 602'!Q6+'Грінченка 701'!Q6+'Центр ПК'!Q6+'Центр моніторингу'!Q6+'Відділи ДОМНС 802 '!Q7+'Відділи ДОМНС 803'!Q6+'Відділи ДОМНС 804'!Q7+'Будинок вчителя'!Q6</f>
        <v>382864.5</v>
      </c>
      <c r="R6" s="9">
        <f>'Школа екстернів'!R6+'Спорт. ліцей'!R6+Палац!Q6+'Тур станція'!R6+МАН!R6+БХТТ!Q6+ПТУ!R6+'Грінченка 601'!R7+'Грінченка 602'!R6+'Грінченка 701'!R6+'Центр ПК'!R6+'Центр моніторингу'!R6+'Відділи ДОМНС 802 '!R7+'Відділи ДОМНС 803'!R6+'Відділи ДОМНС 804'!R7+'Будинок вчителя'!R6</f>
        <v>277032.99200000003</v>
      </c>
      <c r="S6" s="9">
        <f>(R6/Q6)*100</f>
        <v>72.35797312103891</v>
      </c>
      <c r="T6" s="5"/>
      <c r="U6" s="5"/>
    </row>
    <row r="7" spans="1:21" ht="60" customHeight="1" x14ac:dyDescent="0.35">
      <c r="A7" s="16"/>
      <c r="B7" s="12">
        <v>2210</v>
      </c>
      <c r="C7" s="79" t="s">
        <v>33</v>
      </c>
      <c r="D7" s="9" t="e">
        <f>'Школа екстернів'!D7+'Спорт. ліцей'!D7+Палац!D7+'Тур станція'!D7+МАН!D7+ПТУ!D7+'Грінченка 601'!D8+'Грінченка 602'!D7+#REF!+'Центр ПК'!D7+'Центр моніторингу'!D7+'Відділи ДОМНС 802 '!D8+'Відділи ДОМНС 803'!D7+'Відділи ДОМНС 804'!D8+'Відділи ДОМНС 807 (2)'!D7+'Будинок вчителя'!D7</f>
        <v>#REF!</v>
      </c>
      <c r="E7" s="9" t="e">
        <f>'Школа екстернів'!E7+'Спорт. ліцей'!E7+Палац!E7+'Тур станція'!E7+МАН!E7+ПТУ!E7+'Грінченка 601'!E8+'Грінченка 602'!E7+#REF!+'Центр ПК'!E7+'Центр моніторингу'!E7+'Відділи ДОМНС 802 '!E8+'Відділи ДОМНС 803'!E7+'Відділи ДОМНС 804'!E8+'Відділи ДОМНС 807 (2)'!E7+'Будинок вчителя'!E7</f>
        <v>#REF!</v>
      </c>
      <c r="F7" s="9" t="e">
        <f>'Школа екстернів'!F7+'Спорт. ліцей'!F7+Палац!F7+'Тур станція'!F7+МАН!F7+ПТУ!F7+'Грінченка 601'!F8+'Грінченка 602'!F7+#REF!+'Центр ПК'!F7+'Центр моніторингу'!F7+'Відділи ДОМНС 802 '!F8+'Відділи ДОМНС 803'!F7+'Відділи ДОМНС 804'!F8+'Відділи ДОМНС 807 (2)'!F7+'Будинок вчителя'!F7</f>
        <v>#REF!</v>
      </c>
      <c r="G7" s="9" t="e">
        <f>'Школа екстернів'!G7+'Спорт. ліцей'!G7+Палац!G7+'Тур станція'!G7+МАН!G7+ПТУ!G7+'Грінченка 601'!G8+'Грінченка 602'!G7+#REF!+'Центр ПК'!G7+'Центр моніторингу'!G7+'Відділи ДОМНС 802 '!G8+'Відділи ДОМНС 803'!G7+'Відділи ДОМНС 804'!G8+'Відділи ДОМНС 807 (2)'!G7+'Будинок вчителя'!G7</f>
        <v>#REF!</v>
      </c>
      <c r="H7" s="9" t="e">
        <f>'Школа екстернів'!H7+'Спорт. ліцей'!H7+Палац!H7+'Тур станція'!H7+МАН!H7+ПТУ!H7+'Грінченка 601'!H8+'Грінченка 602'!H7+#REF!+'Центр ПК'!H7+'Центр моніторингу'!H7+'Відділи ДОМНС 802 '!H8+'Відділи ДОМНС 803'!H7+'Відділи ДОМНС 804'!H8+'Відділи ДОМНС 807 (2)'!H7+'Будинок вчителя'!H7</f>
        <v>#REF!</v>
      </c>
      <c r="I7" s="9" t="e">
        <f>'Школа екстернів'!I7+'Спорт. ліцей'!I7+Палац!I7+'Тур станція'!I7+МАН!I7+ПТУ!I7+'Грінченка 601'!I8+'Грінченка 602'!I7+#REF!+'Центр ПК'!I7+'Центр моніторингу'!I7+'Відділи ДОМНС 802 '!I8+'Відділи ДОМНС 803'!I7+'Відділи ДОМНС 804'!I8+'Відділи ДОМНС 807 (2)'!I7+'Будинок вчителя'!I7</f>
        <v>#REF!</v>
      </c>
      <c r="J7" s="9" t="e">
        <f>'Школа екстернів'!J7+'Спорт. ліцей'!J7+Палац!J7+'Тур станція'!J7+МАН!J7+ПТУ!J7+'Грінченка 601'!J8+'Грінченка 602'!J7+#REF!+'Центр ПК'!J7+'Центр моніторингу'!J7+'Відділи ДОМНС 802 '!J8+'Відділи ДОМНС 803'!J7+'Відділи ДОМНС 804'!J8+'Відділи ДОМНС 807 (2)'!J7+'Будинок вчителя'!J7</f>
        <v>#REF!</v>
      </c>
      <c r="K7" s="9" t="e">
        <f>'Школа екстернів'!K7+'Спорт. ліцей'!K7+Палац!K7+'Тур станція'!K7+МАН!K7+ПТУ!K7+'Грінченка 601'!K8+'Грінченка 602'!K7+#REF!+'Центр ПК'!K7+'Центр моніторингу'!K7+'Відділи ДОМНС 802 '!K8+'Відділи ДОМНС 803'!K7+'Відділи ДОМНС 804'!K8+'Відділи ДОМНС 807 (2)'!K7+'Будинок вчителя'!K7</f>
        <v>#REF!</v>
      </c>
      <c r="L7" s="9" t="e">
        <f>'Школа екстернів'!L7+'Спорт. ліцей'!L7+Палац!L7+'Тур станція'!L7+МАН!L7+ПТУ!L7+'Грінченка 601'!L8+'Грінченка 602'!L7+#REF!+'Центр ПК'!L7+'Центр моніторингу'!L7+'Відділи ДОМНС 802 '!L8+'Відділи ДОМНС 803'!L7+'Відділи ДОМНС 804'!L8+'Відділи ДОМНС 807 (2)'!L7+'Будинок вчителя'!L7</f>
        <v>#REF!</v>
      </c>
      <c r="M7" s="9" t="e">
        <f>'Школа екстернів'!M7+'Спорт. ліцей'!M7+Палац!M7+'Тур станція'!M7+МАН!M7+ПТУ!M7+'Грінченка 601'!M8+'Грінченка 602'!M7+#REF!+'Центр ПК'!M7+'Центр моніторингу'!M7+'Відділи ДОМНС 802 '!M8+'Відділи ДОМНС 803'!M7+'Відділи ДОМНС 804'!M8+'Відділи ДОМНС 807 (2)'!M7+'Будинок вчителя'!M7</f>
        <v>#REF!</v>
      </c>
      <c r="N7" s="9" t="e">
        <f>'Школа екстернів'!N7+'Спорт. ліцей'!N7+Палац!N7+'Тур станція'!N7+МАН!N7+ПТУ!N7+'Грінченка 601'!N8+'Грінченка 602'!N7+#REF!+'Центр ПК'!N7+'Центр моніторингу'!N7+'Відділи ДОМНС 802 '!N8+'Відділи ДОМНС 803'!N7+'Відділи ДОМНС 804'!N8+'Відділи ДОМНС 807 (2)'!N7+'Будинок вчителя'!N7</f>
        <v>#REF!</v>
      </c>
      <c r="O7" s="9" t="e">
        <f>'Школа екстернів'!O7+'Спорт. ліцей'!O7+Палац!O7+'Тур станція'!O7+МАН!O7+ПТУ!O7+'Грінченка 601'!O8+'Грінченка 602'!O7+#REF!+'Центр ПК'!O7+'Центр моніторингу'!O7+'Відділи ДОМНС 802 '!O8+'Відділи ДОМНС 803'!O7+'Відділи ДОМНС 804'!O8+'Відділи ДОМНС 807 (2)'!O7+'Будинок вчителя'!O7</f>
        <v>#REF!</v>
      </c>
      <c r="P7" s="9" t="e">
        <f>'Школа екстернів'!P7+'Спорт. ліцей'!P7+Палац!#REF!+'Тур станція'!P7+МАН!P7+ПТУ!P7+'Грінченка 601'!P8+'Грінченка 602'!P7+#REF!+'Центр ПК'!P7+'Центр моніторингу'!P7+'Відділи ДОМНС 802 '!P8+'Відділи ДОМНС 803'!P7+'Відділи ДОМНС 804'!P8+'Відділи ДОМНС 807 (2)'!P7+'Будинок вчителя'!P7</f>
        <v>#REF!</v>
      </c>
      <c r="Q7" s="9">
        <f>'Школа екстернів'!Q7+'Спорт. ліцей'!Q7+Палац!P7+'Тур станція'!Q7+МАН!Q7+ПТУ!Q7+'Грінченка 601'!Q8+'Грінченка 701'!Q7+'Грінченка 602'!Q7+'Центр ПК'!Q7+'Центр моніторингу'!Q7+'Відділи ДОМНС 802 '!Q8+'Відділи ДОМНС 803'!Q7+'Відділи ДОМНС 804'!Q8+'Будинок вчителя'!Q7+БХТТ!P7</f>
        <v>7289.3</v>
      </c>
      <c r="R7" s="9">
        <f>'Школа екстернів'!R7+'Спорт. ліцей'!R7+Палац!Q7+'Тур станція'!R7+МАН!R7+ПТУ!R7+'Грінченка 601'!R8+'Грінченка 701'!R7+'Грінченка 602'!R7+'Центр ПК'!R7+'Центр моніторингу'!R7+'Відділи ДОМНС 802 '!R8+'Відділи ДОМНС 803'!R7+'Відділи ДОМНС 804'!R8+'Будинок вчителя'!R7+БХТТ!Q7</f>
        <v>5463.4849999999997</v>
      </c>
      <c r="S7" s="9">
        <f>(R7/Q7)*100</f>
        <v>74.952121602897392</v>
      </c>
      <c r="T7" s="5"/>
      <c r="U7" s="5"/>
    </row>
    <row r="8" spans="1:21" ht="54.75" customHeight="1" x14ac:dyDescent="0.35">
      <c r="A8" s="16"/>
      <c r="B8" s="12">
        <v>2220</v>
      </c>
      <c r="C8" s="79" t="s">
        <v>37</v>
      </c>
      <c r="D8" s="9">
        <f>'Спорт. ліцей'!D8+'Грінченка 602'!D8</f>
        <v>52.900000000000006</v>
      </c>
      <c r="E8" s="9">
        <f>'Спорт. ліцей'!E8+'Грінченка 602'!E8</f>
        <v>0</v>
      </c>
      <c r="F8" s="9">
        <f>'Спорт. ліцей'!F8+'Грінченка 602'!F8</f>
        <v>0</v>
      </c>
      <c r="G8" s="9">
        <f>'Спорт. ліцей'!G8+'Грінченка 602'!G8</f>
        <v>0</v>
      </c>
      <c r="H8" s="9">
        <f>'Спорт. ліцей'!H8+'Грінченка 602'!H8</f>
        <v>32.900000000000006</v>
      </c>
      <c r="I8" s="9">
        <f>'Спорт. ліцей'!I8+'Грінченка 602'!I8</f>
        <v>0</v>
      </c>
      <c r="J8" s="9">
        <f>'Спорт. ліцей'!J8+'Грінченка 602'!J8</f>
        <v>0</v>
      </c>
      <c r="K8" s="9">
        <f>'Спорт. ліцей'!K8+'Грінченка 602'!K8</f>
        <v>0</v>
      </c>
      <c r="L8" s="9">
        <f>'Спорт. ліцей'!L8+'Грінченка 602'!L8</f>
        <v>20</v>
      </c>
      <c r="M8" s="9">
        <f>'Спорт. ліцей'!M8+'Грінченка 602'!M8</f>
        <v>0</v>
      </c>
      <c r="N8" s="9">
        <f>'Спорт. ліцей'!N8+'Грінченка 602'!N8</f>
        <v>0</v>
      </c>
      <c r="O8" s="9">
        <f>'Спорт. ліцей'!O8+'Грінченка 602'!O8</f>
        <v>0</v>
      </c>
      <c r="P8" s="9">
        <f>'Спорт. ліцей'!P8+'Грінченка 602'!P8</f>
        <v>0</v>
      </c>
      <c r="Q8" s="9">
        <f>'Спорт. ліцей'!Q8+'Грінченка 602'!8:8</f>
        <v>87.3</v>
      </c>
      <c r="R8" s="9">
        <f>'Спорт. ліцей'!R8+'Грінченка 602'!8:8</f>
        <v>32.003999999999998</v>
      </c>
      <c r="S8" s="9">
        <f>(R8/Q8)*100</f>
        <v>36.659793814432987</v>
      </c>
      <c r="T8" s="5"/>
      <c r="U8" s="5"/>
    </row>
    <row r="9" spans="1:21" ht="32.25" customHeight="1" x14ac:dyDescent="0.35">
      <c r="A9" s="16"/>
      <c r="B9" s="12">
        <v>2230</v>
      </c>
      <c r="C9" s="79" t="s">
        <v>43</v>
      </c>
      <c r="D9" s="9">
        <f>'Спорт. ліцей'!D9+ПТУ!D8+'Грінченка 601'!D9+'Грінченка 602'!D9+'Відділи ДОМНС201'!D7</f>
        <v>16222.699999999997</v>
      </c>
      <c r="E9" s="9">
        <f>'Спорт. ліцей'!E9+ПТУ!E8+'Грінченка 601'!E9+'Грінченка 602'!E9+'Відділи ДОМНС201'!E7</f>
        <v>4206.3</v>
      </c>
      <c r="F9" s="9">
        <f>'Спорт. ліцей'!F9+ПТУ!F8+'Грінченка 601'!F9+'Грінченка 602'!F9+'Відділи ДОМНС201'!F7</f>
        <v>1539</v>
      </c>
      <c r="G9" s="9">
        <f>'Спорт. ліцей'!G9+ПТУ!G8+'Грінченка 601'!G9+'Грінченка 602'!G9+'Відділи ДОМНС201'!G7</f>
        <v>901.2</v>
      </c>
      <c r="H9" s="9">
        <f>'Спорт. ліцей'!H9+ПТУ!H8+'Грінченка 601'!H9+'Грінченка 602'!H9+'Відділи ДОМНС201'!H7</f>
        <v>1539.8</v>
      </c>
      <c r="I9" s="9">
        <f>'Спорт. ліцей'!I9+ПТУ!I8+'Грінченка 601'!I9+'Грінченка 602'!I9+'Відділи ДОМНС201'!I7</f>
        <v>1344.7</v>
      </c>
      <c r="J9" s="9">
        <f>'Спорт. ліцей'!J9+ПТУ!J8+'Грінченка 601'!J9+'Грінченка 602'!J9+'Відділи ДОМНС201'!J7</f>
        <v>1226.7</v>
      </c>
      <c r="K9" s="9">
        <f>'Спорт. ліцей'!K9+ПТУ!K8+'Грінченка 601'!K9+'Грінченка 602'!K9+'Відділи ДОМНС201'!K7</f>
        <v>550.29999999999995</v>
      </c>
      <c r="L9" s="9">
        <f>'Спорт. ліцей'!L9+ПТУ!L8+'Грінченка 601'!L9+'Грінченка 602'!L9+'Відділи ДОМНС201'!L7</f>
        <v>820.5</v>
      </c>
      <c r="M9" s="9">
        <f>'Спорт. ліцей'!M9+ПТУ!M8+'Грінченка 601'!M9+'Грінченка 602'!M9+'Відділи ДОМНС201'!M7</f>
        <v>1195.5</v>
      </c>
      <c r="N9" s="9">
        <f>'Спорт. ліцей'!N9+ПТУ!N8+'Грінченка 601'!N9+'Грінченка 602'!N9+'Відділи ДОМНС201'!N7</f>
        <v>1195.5</v>
      </c>
      <c r="O9" s="9">
        <f>'Спорт. ліцей'!O9+ПТУ!O8+'Грінченка 601'!O9+'Грінченка 602'!O9+'Відділи ДОМНС201'!O7</f>
        <v>907.7</v>
      </c>
      <c r="P9" s="9">
        <f>'Спорт. ліцей'!P9+ПТУ!P8+'Грінченка 601'!P9+'Грінченка 602'!P9+'Відділи ДОМНС201'!P7</f>
        <v>1495.5</v>
      </c>
      <c r="Q9" s="9">
        <f>'Спорт. ліцей'!Q9+ПТУ!Q8+'Грінченка 601'!Q9+'Грінченка 602'!Q9</f>
        <v>25086.899999999998</v>
      </c>
      <c r="R9" s="9">
        <f>'Спорт. ліцей'!R9+ПТУ!R8+'Грінченка 601'!R9+'Грінченка 602'!R9</f>
        <v>15266</v>
      </c>
      <c r="S9" s="9">
        <f>(R9/Q9)*100</f>
        <v>60.852476790675617</v>
      </c>
      <c r="T9" s="5"/>
      <c r="U9" s="5"/>
    </row>
    <row r="10" spans="1:21" ht="53.25" customHeight="1" x14ac:dyDescent="0.35">
      <c r="A10" s="16"/>
      <c r="B10" s="12">
        <v>2240</v>
      </c>
      <c r="C10" s="36" t="s">
        <v>34</v>
      </c>
      <c r="D10" s="9" t="e">
        <f>'Школа екстернів'!D8+'Спорт. ліцей'!D10+Палац!D8+'Тур станція'!D8+МАН!D8+ПТУ!D9+'Грінченка 601'!D10+'Грінченка 602'!D10+#REF!+'Центр ПК'!D8+'Відділи ДОМНС 802 '!D9+'Відділи ДОМНС 803'!D8+'Відділи ДОМНС 804'!D9+'Центр моніторингу'!D8+'Будинок вчителя'!D8</f>
        <v>#REF!</v>
      </c>
      <c r="E10" s="9" t="e">
        <f>'Школа екстернів'!E8+'Спорт. ліцей'!E10+Палац!E8+'Тур станція'!E8+МАН!E8+ПТУ!E9+'Грінченка 601'!E10+'Грінченка 602'!E10+#REF!+'Центр ПК'!E8+'Відділи ДОМНС 802 '!E9+'Відділи ДОМНС 803'!E8+'Відділи ДОМНС 804'!E9+'Центр моніторингу'!E8+'Будинок вчителя'!E8</f>
        <v>#REF!</v>
      </c>
      <c r="F10" s="9" t="e">
        <f>'Школа екстернів'!F8+'Спорт. ліцей'!F10+Палац!F8+'Тур станція'!F8+МАН!F8+ПТУ!F9+'Грінченка 601'!F10+'Грінченка 602'!F10+#REF!+'Центр ПК'!F8+'Відділи ДОМНС 802 '!F9+'Відділи ДОМНС 803'!F8+'Відділи ДОМНС 804'!F9+'Центр моніторингу'!F8+'Будинок вчителя'!F8</f>
        <v>#REF!</v>
      </c>
      <c r="G10" s="9" t="e">
        <f>'Школа екстернів'!G8+'Спорт. ліцей'!G10+Палац!G8+'Тур станція'!G8+МАН!G8+ПТУ!G9+'Грінченка 601'!G10+'Грінченка 602'!G10+#REF!+'Центр ПК'!G8+'Відділи ДОМНС 802 '!G9+'Відділи ДОМНС 803'!G8+'Відділи ДОМНС 804'!G9+'Центр моніторингу'!G8+'Будинок вчителя'!G8</f>
        <v>#REF!</v>
      </c>
      <c r="H10" s="9" t="e">
        <f>'Школа екстернів'!H8+'Спорт. ліцей'!H10+Палац!H8+'Тур станція'!H8+МАН!H8+ПТУ!H9+'Грінченка 601'!H10+'Грінченка 602'!H10+#REF!+'Центр ПК'!H8+'Відділи ДОМНС 802 '!H9+'Відділи ДОМНС 803'!H8+'Відділи ДОМНС 804'!H9+'Центр моніторингу'!H8+'Будинок вчителя'!H8</f>
        <v>#REF!</v>
      </c>
      <c r="I10" s="9" t="e">
        <f>'Школа екстернів'!I8+'Спорт. ліцей'!I10+Палац!I8+'Тур станція'!I8+МАН!I8+ПТУ!I9+'Грінченка 601'!I10+'Грінченка 602'!I10+#REF!+'Центр ПК'!I8+'Відділи ДОМНС 802 '!I9+'Відділи ДОМНС 803'!I8+'Відділи ДОМНС 804'!I9+'Центр моніторингу'!I8+'Будинок вчителя'!I8</f>
        <v>#REF!</v>
      </c>
      <c r="J10" s="9" t="e">
        <f>'Школа екстернів'!J8+'Спорт. ліцей'!J10+Палац!J8+'Тур станція'!J8+МАН!J8+ПТУ!J9+'Грінченка 601'!J10+'Грінченка 602'!J10+#REF!+'Центр ПК'!J8+'Відділи ДОМНС 802 '!J9+'Відділи ДОМНС 803'!J8+'Відділи ДОМНС 804'!J9+'Центр моніторингу'!J8+'Будинок вчителя'!J8</f>
        <v>#REF!</v>
      </c>
      <c r="K10" s="9" t="e">
        <f>'Школа екстернів'!K8+'Спорт. ліцей'!K10+Палац!K8+'Тур станція'!K8+МАН!K8+ПТУ!K9+'Грінченка 601'!K10+'Грінченка 602'!K10+#REF!+'Центр ПК'!K8+'Відділи ДОМНС 802 '!K9+'Відділи ДОМНС 803'!K8+'Відділи ДОМНС 804'!K9+'Центр моніторингу'!K8+'Будинок вчителя'!K8</f>
        <v>#REF!</v>
      </c>
      <c r="L10" s="9" t="e">
        <f>'Школа екстернів'!L8+'Спорт. ліцей'!L10+Палац!L8+'Тур станція'!L8+МАН!L8+ПТУ!L9+'Грінченка 601'!L10+'Грінченка 602'!L10+#REF!+'Центр ПК'!L8+'Відділи ДОМНС 802 '!L9+'Відділи ДОМНС 803'!L8+'Відділи ДОМНС 804'!L9+'Центр моніторингу'!L8+'Будинок вчителя'!L8</f>
        <v>#REF!</v>
      </c>
      <c r="M10" s="9" t="e">
        <f>'Школа екстернів'!M8+'Спорт. ліцей'!M10+Палац!M8+'Тур станція'!M8+МАН!M8+ПТУ!M9+'Грінченка 601'!M10+'Грінченка 602'!M10+#REF!+'Центр ПК'!M8+'Відділи ДОМНС 802 '!M9+'Відділи ДОМНС 803'!M8+'Відділи ДОМНС 804'!M9+'Центр моніторингу'!M8+'Будинок вчителя'!M8</f>
        <v>#REF!</v>
      </c>
      <c r="N10" s="9" t="e">
        <f>'Школа екстернів'!N8+'Спорт. ліцей'!N10+Палац!N8+'Тур станція'!N8+МАН!N8+ПТУ!N9+'Грінченка 601'!N10+'Грінченка 602'!N10+#REF!+'Центр ПК'!N8+'Відділи ДОМНС 802 '!N9+'Відділи ДОМНС 803'!N8+'Відділи ДОМНС 804'!N9+'Центр моніторингу'!N8+'Будинок вчителя'!N8</f>
        <v>#REF!</v>
      </c>
      <c r="O10" s="9" t="e">
        <f>'Школа екстернів'!O8+'Спорт. ліцей'!O10+Палац!O8+'Тур станція'!O8+МАН!O8+ПТУ!O9+'Грінченка 601'!O10+'Грінченка 602'!O10+#REF!+'Центр ПК'!O8+'Відділи ДОМНС 802 '!O9+'Відділи ДОМНС 803'!O8+'Відділи ДОМНС 804'!O9+'Центр моніторингу'!O8+'Будинок вчителя'!O8</f>
        <v>#REF!</v>
      </c>
      <c r="P10" s="9" t="e">
        <f>'Школа екстернів'!P8+'Спорт. ліцей'!P10+Палац!#REF!+'Тур станція'!P8+МАН!P8+ПТУ!P9+'Грінченка 601'!P10+'Грінченка 602'!P10+#REF!+'Центр ПК'!P8+'Відділи ДОМНС 802 '!P9+'Відділи ДОМНС 803'!P8+'Відділи ДОМНС 804'!P9+'Центр моніторингу'!P8+'Будинок вчителя'!P8</f>
        <v>#REF!</v>
      </c>
      <c r="Q10" s="9">
        <f>'Школа екстернів'!Q8+'Спорт. ліцей'!Q10+Палац!P8+'Тур станція'!Q8+МАН!Q8+БХТТ!P8+ПТУ!Q9+'Грінченка 601'!Q10+'Грінченка 602'!Q10+'Грінченка 701'!Q8+'Центр ПК'!Q8+'Центр моніторингу'!Q8+'Відділи ДОМНС 802 '!Q9+'Відділи ДОМНС 803'!Q8+'Відділи ДОМНС 804'!Q9+'Відділи ДОМНС 807 (2)'!Q7+'Будинок вчителя'!Q8</f>
        <v>12455.800000000001</v>
      </c>
      <c r="R10" s="9">
        <f>'Школа екстернів'!R8+'Спорт. ліцей'!R10+Палац!Q8+'Тур станція'!R8+МАН!R8+БХТТ!Q8+ПТУ!R9+'Грінченка 601'!R10+'Грінченка 602'!R10+'Грінченка 701'!R8+'Центр ПК'!R8+'Центр моніторингу'!R8+'Відділи ДОМНС 802 '!R9+'Відділи ДОМНС 803'!R8+'Відділи ДОМНС 804'!R9+'Відділи ДОМНС 807 (2)'!R7+'Будинок вчителя'!R8</f>
        <v>8324.530999999999</v>
      </c>
      <c r="S10" s="9">
        <f t="shared" ref="S10:S11" si="0">(R10/Q10)*100</f>
        <v>66.832567960307628</v>
      </c>
      <c r="T10" s="5"/>
      <c r="U10" s="5"/>
    </row>
    <row r="11" spans="1:21" ht="35.25" customHeight="1" x14ac:dyDescent="0.35">
      <c r="A11" s="16"/>
      <c r="B11" s="12">
        <v>2250</v>
      </c>
      <c r="C11" s="36" t="s">
        <v>39</v>
      </c>
      <c r="D11" s="9" t="e">
        <f>'Спорт. ліцей'!D11+Палац!D9+'Тур станція'!D9+МАН!D9+'Грінченка 601'!D11+'Грінченка 602'!D11+#REF!+'Центр ПК'!D9+'Відділи ДОМНС 802 '!D10+'Відділи ДОМНС 803'!D9</f>
        <v>#REF!</v>
      </c>
      <c r="E11" s="9" t="e">
        <f>'Спорт. ліцей'!E11+Палац!E9+'Тур станція'!E9+МАН!E9+'Грінченка 601'!E11+'Грінченка 602'!E11+#REF!+'Центр ПК'!E9+'Відділи ДОМНС 802 '!E10+'Відділи ДОМНС 803'!E9</f>
        <v>#REF!</v>
      </c>
      <c r="F11" s="9" t="e">
        <f>'Спорт. ліцей'!F11+Палац!F9+'Тур станція'!F9+МАН!F9+'Грінченка 601'!F11+'Грінченка 602'!F11+#REF!+'Центр ПК'!F9+'Відділи ДОМНС 802 '!F10+'Відділи ДОМНС 803'!F9</f>
        <v>#REF!</v>
      </c>
      <c r="G11" s="9" t="e">
        <f>'Спорт. ліцей'!G11+Палац!G9+'Тур станція'!G9+МАН!G9+'Грінченка 601'!G11+'Грінченка 602'!G11+#REF!+'Центр ПК'!G9+'Відділи ДОМНС 802 '!G10+'Відділи ДОМНС 803'!G9</f>
        <v>#REF!</v>
      </c>
      <c r="H11" s="9" t="e">
        <f>'Спорт. ліцей'!H11+Палац!H9+'Тур станція'!H9+МАН!H9+'Грінченка 601'!H11+'Грінченка 602'!H11+#REF!+'Центр ПК'!H9+'Відділи ДОМНС 802 '!H10+'Відділи ДОМНС 803'!H9</f>
        <v>#REF!</v>
      </c>
      <c r="I11" s="9" t="e">
        <f>'Спорт. ліцей'!I11+Палац!I9+'Тур станція'!I9+МАН!I9+'Грінченка 601'!I11+'Грінченка 602'!I11+#REF!+'Центр ПК'!I9+'Відділи ДОМНС 802 '!I10+'Відділи ДОМНС 803'!I9</f>
        <v>#REF!</v>
      </c>
      <c r="J11" s="9" t="e">
        <f>'Спорт. ліцей'!J11+Палац!J9+'Тур станція'!J9+МАН!J9+'Грінченка 601'!J11+'Грінченка 602'!J11+#REF!+'Центр ПК'!J9+'Відділи ДОМНС 802 '!J10+'Відділи ДОМНС 803'!J9</f>
        <v>#REF!</v>
      </c>
      <c r="K11" s="9" t="e">
        <f>'Спорт. ліцей'!K11+Палац!K9+'Тур станція'!K9+МАН!K9+'Грінченка 601'!K11+'Грінченка 602'!K11+#REF!+'Центр ПК'!K9+'Відділи ДОМНС 802 '!K10+'Відділи ДОМНС 803'!K9</f>
        <v>#REF!</v>
      </c>
      <c r="L11" s="9" t="e">
        <f>'Спорт. ліцей'!L11+Палац!L9+'Тур станція'!L9+МАН!L9+'Грінченка 601'!L11+'Грінченка 602'!L11+#REF!+'Центр ПК'!L9+'Відділи ДОМНС 802 '!L10+'Відділи ДОМНС 803'!L9</f>
        <v>#REF!</v>
      </c>
      <c r="M11" s="9" t="e">
        <f>'Спорт. ліцей'!M11+Палац!M9+'Тур станція'!M9+МАН!M9+'Грінченка 601'!M11+'Грінченка 602'!M11+#REF!+'Центр ПК'!M9+'Відділи ДОМНС 802 '!M10+'Відділи ДОМНС 803'!M9</f>
        <v>#REF!</v>
      </c>
      <c r="N11" s="9" t="e">
        <f>'Спорт. ліцей'!N11+Палац!N9+'Тур станція'!N9+МАН!N9+'Грінченка 601'!N11+'Грінченка 602'!N11+#REF!+'Центр ПК'!N9+'Відділи ДОМНС 802 '!N10+'Відділи ДОМНС 803'!N9</f>
        <v>#REF!</v>
      </c>
      <c r="O11" s="9" t="e">
        <f>'Спорт. ліцей'!O11+Палац!O9+'Тур станція'!O9+МАН!O9+'Грінченка 601'!O11+'Грінченка 602'!O11+#REF!+'Центр ПК'!O9+'Відділи ДОМНС 802 '!O10+'Відділи ДОМНС 803'!O9</f>
        <v>#REF!</v>
      </c>
      <c r="P11" s="9" t="e">
        <f>'Спорт. ліцей'!P11+Палац!#REF!+'Тур станція'!P9+МАН!P9+'Грінченка 601'!P11+'Грінченка 602'!P11+#REF!+'Центр ПК'!P9+'Відділи ДОМНС 802 '!P10+'Відділи ДОМНС 803'!P9</f>
        <v>#REF!</v>
      </c>
      <c r="Q11" s="9">
        <f>'Спорт. ліцей'!Q11+Палац!P9+'Тур станція'!Q9+МАН!Q9+'Грінченка 601'!Q11+'Грінченка 701'!Q9+'Грінченка 602'!Q11+'Центр ПК'!Q9+'Відділи ДОМНС 802 '!Q10+'Відділи ДОМНС 803'!Q9+БХТТ!P9</f>
        <v>1182.5000000000002</v>
      </c>
      <c r="R11" s="9">
        <f>'Спорт. ліцей'!R11+Палац!Q9+'Тур станція'!R9+МАН!R9+'Грінченка 601'!R11+'Грінченка 701'!R9+'Грінченка 602'!R11+'Центр ПК'!R9+'Відділи ДОМНС 802 '!R10+'Відділи ДОМНС 803'!R9+БХТТ!Q9</f>
        <v>769.51</v>
      </c>
      <c r="S11" s="9">
        <f t="shared" si="0"/>
        <v>65.074841437632131</v>
      </c>
      <c r="T11" s="5"/>
      <c r="U11" s="5"/>
    </row>
    <row r="12" spans="1:21" ht="46.5" customHeight="1" x14ac:dyDescent="0.35">
      <c r="A12" s="16"/>
      <c r="B12" s="32">
        <v>2270</v>
      </c>
      <c r="C12" s="80" t="s">
        <v>35</v>
      </c>
      <c r="D12" s="33" t="e">
        <f>'Школа екстернів'!D9+'Спорт. ліцей'!D12+Палац!D10+'Тур станція'!D10+МАН!D10+ПТУ!D10+'Грінченка 601'!D12+'Грінченка 602'!D12+#REF!+'Центр ПК'!D10+'Відділи ДОМНС 802 '!D11+'Центр моніторингу'!D9+'Будинок вчителя'!D9</f>
        <v>#REF!</v>
      </c>
      <c r="E12" s="33" t="e">
        <f>'Школа екстернів'!E9+'Спорт. ліцей'!E12+Палац!E10+'Тур станція'!E10+МАН!E10+ПТУ!E10+'Грінченка 601'!E12+'Грінченка 602'!E12+#REF!+'Центр ПК'!E10+'Відділи ДОМНС 802 '!E11+'Центр моніторингу'!E9+'Будинок вчителя'!E9</f>
        <v>#REF!</v>
      </c>
      <c r="F12" s="33" t="e">
        <f>'Школа екстернів'!F9+'Спорт. ліцей'!F12+Палац!F10+'Тур станція'!F10+МАН!F10+ПТУ!F10+'Грінченка 601'!F12+'Грінченка 602'!F12+#REF!+'Центр ПК'!F10+'Відділи ДОМНС 802 '!F11+'Центр моніторингу'!F9+'Будинок вчителя'!F9</f>
        <v>#REF!</v>
      </c>
      <c r="G12" s="33" t="e">
        <f>'Школа екстернів'!G9+'Спорт. ліцей'!G12+Палац!G10+'Тур станція'!G10+МАН!G10+ПТУ!G10+'Грінченка 601'!G12+'Грінченка 602'!G12+#REF!+'Центр ПК'!G10+'Відділи ДОМНС 802 '!G11+'Центр моніторингу'!G9+'Будинок вчителя'!G9</f>
        <v>#REF!</v>
      </c>
      <c r="H12" s="33" t="e">
        <f>'Школа екстернів'!H9+'Спорт. ліцей'!H12+Палац!H10+'Тур станція'!H10+МАН!H10+ПТУ!H10+'Грінченка 601'!H12+'Грінченка 602'!H12+#REF!+'Центр ПК'!H10+'Відділи ДОМНС 802 '!H11+'Центр моніторингу'!H9+'Будинок вчителя'!H9</f>
        <v>#REF!</v>
      </c>
      <c r="I12" s="33" t="e">
        <f>'Школа екстернів'!I9+'Спорт. ліцей'!I12+Палац!I10+'Тур станція'!I10+МАН!I10+ПТУ!I10+'Грінченка 601'!I12+'Грінченка 602'!I12+#REF!+'Центр ПК'!I10+'Відділи ДОМНС 802 '!I11+'Центр моніторингу'!I9+'Будинок вчителя'!I9</f>
        <v>#REF!</v>
      </c>
      <c r="J12" s="33" t="e">
        <f>'Школа екстернів'!J9+'Спорт. ліцей'!J12+Палац!J10+'Тур станція'!J10+МАН!J10+ПТУ!J10+'Грінченка 601'!J12+'Грінченка 602'!J12+#REF!+'Центр ПК'!J10+'Відділи ДОМНС 802 '!J11+'Центр моніторингу'!J9+'Будинок вчителя'!J9</f>
        <v>#REF!</v>
      </c>
      <c r="K12" s="33" t="e">
        <f>'Школа екстернів'!K9+'Спорт. ліцей'!K12+Палац!K10+'Тур станція'!K10+МАН!K10+ПТУ!K10+'Грінченка 601'!K12+'Грінченка 602'!K12+#REF!+'Центр ПК'!K10+'Відділи ДОМНС 802 '!K11+'Центр моніторингу'!K9+'Будинок вчителя'!K9</f>
        <v>#REF!</v>
      </c>
      <c r="L12" s="33" t="e">
        <f>'Школа екстернів'!L9+'Спорт. ліцей'!L12+Палац!L10+'Тур станція'!L10+МАН!L10+ПТУ!L10+'Грінченка 601'!L12+'Грінченка 602'!L12+#REF!+'Центр ПК'!L10+'Відділи ДОМНС 802 '!L11+'Центр моніторингу'!L9+'Будинок вчителя'!L9</f>
        <v>#REF!</v>
      </c>
      <c r="M12" s="33" t="e">
        <f>'Школа екстернів'!M9+'Спорт. ліцей'!M12+Палац!M10+'Тур станція'!M10+МАН!M10+ПТУ!M10+'Грінченка 601'!M12+'Грінченка 602'!M12+#REF!+'Центр ПК'!M10+'Відділи ДОМНС 802 '!M11+'Центр моніторингу'!M9+'Будинок вчителя'!M9</f>
        <v>#REF!</v>
      </c>
      <c r="N12" s="33" t="e">
        <f>'Школа екстернів'!N9+'Спорт. ліцей'!N12+Палац!N10+'Тур станція'!N10+МАН!N10+ПТУ!N10+'Грінченка 601'!N12+'Грінченка 602'!N12+#REF!+'Центр ПК'!N10+'Відділи ДОМНС 802 '!N11+'Центр моніторингу'!N9+'Будинок вчителя'!N9</f>
        <v>#REF!</v>
      </c>
      <c r="O12" s="33" t="e">
        <f>'Школа екстернів'!O9+'Спорт. ліцей'!O12+Палац!O10+'Тур станція'!O10+МАН!O10+ПТУ!O10+'Грінченка 601'!O12+'Грінченка 602'!O12+#REF!+'Центр ПК'!O10+'Відділи ДОМНС 802 '!O11+'Центр моніторингу'!O9+'Будинок вчителя'!O9</f>
        <v>#REF!</v>
      </c>
      <c r="P12" s="33" t="e">
        <f>'Школа екстернів'!P9+'Спорт. ліцей'!P12+Палац!#REF!+'Тур станція'!P10+МАН!P10+ПТУ!P10+'Грінченка 601'!P12+'Грінченка 602'!P12+#REF!+'Центр ПК'!P10+'Відділи ДОМНС 802 '!P11+'Центр моніторингу'!P9+'Будинок вчителя'!P9</f>
        <v>#REF!</v>
      </c>
      <c r="Q12" s="33">
        <f>Q13+Q14+Q15</f>
        <v>75212.2</v>
      </c>
      <c r="R12" s="33">
        <f>R13+R14+R15</f>
        <v>44751.5533</v>
      </c>
      <c r="S12" s="33">
        <f>(R12/Q12)*100</f>
        <v>59.500391292901952</v>
      </c>
      <c r="T12" s="5"/>
      <c r="U12" s="5"/>
    </row>
    <row r="13" spans="1:21" ht="42" customHeight="1" x14ac:dyDescent="0.35">
      <c r="A13" s="16"/>
      <c r="B13" s="12">
        <v>2271</v>
      </c>
      <c r="C13" s="36" t="s">
        <v>39</v>
      </c>
      <c r="D13" s="9" t="e">
        <f>'Школа екстернів'!D10+'Спорт. ліцей'!D13+Палац!D11+'Тур станція'!D11+МАН!D11+ПТУ!D11+'Грінченка 601'!D13+'Грінченка 602'!D13+#REF!+'Центр ПК'!D11+'Відділи ДОМНС 802 '!D12+'Центр моніторингу'!D10+'Будинок вчителя'!D10</f>
        <v>#REF!</v>
      </c>
      <c r="E13" s="9" t="e">
        <f>'Школа екстернів'!E10+'Спорт. ліцей'!E13+Палац!E11+'Тур станція'!E11+МАН!E11+ПТУ!E11+'Грінченка 601'!E13+'Грінченка 602'!E13+#REF!+'Центр ПК'!E11+'Відділи ДОМНС 802 '!E12+'Центр моніторингу'!E10+'Будинок вчителя'!E10</f>
        <v>#REF!</v>
      </c>
      <c r="F13" s="9" t="e">
        <f>'Школа екстернів'!F10+'Спорт. ліцей'!F13+Палац!F11+'Тур станція'!F11+МАН!F11+ПТУ!F11+'Грінченка 601'!F13+'Грінченка 602'!F13+#REF!+'Центр ПК'!F11+'Відділи ДОМНС 802 '!F12+'Центр моніторингу'!F10+'Будинок вчителя'!F10</f>
        <v>#REF!</v>
      </c>
      <c r="G13" s="9" t="e">
        <f>'Школа екстернів'!G10+'Спорт. ліцей'!G13+Палац!G11+'Тур станція'!G11+МАН!G11+ПТУ!G11+'Грінченка 601'!G13+'Грінченка 602'!G13+#REF!+'Центр ПК'!G11+'Відділи ДОМНС 802 '!G12+'Центр моніторингу'!G10+'Будинок вчителя'!G10</f>
        <v>#REF!</v>
      </c>
      <c r="H13" s="9" t="e">
        <f>'Школа екстернів'!H10+'Спорт. ліцей'!H13+Палац!H11+'Тур станція'!H11+МАН!H11+ПТУ!H11+'Грінченка 601'!H13+'Грінченка 602'!H13+#REF!+'Центр ПК'!H11+'Відділи ДОМНС 802 '!H12+'Центр моніторингу'!H10+'Будинок вчителя'!H10</f>
        <v>#REF!</v>
      </c>
      <c r="I13" s="9" t="e">
        <f>'Школа екстернів'!I10+'Спорт. ліцей'!I13+Палац!I11+'Тур станція'!I11+МАН!I11+ПТУ!I11+'Грінченка 601'!I13+'Грінченка 602'!I13+#REF!+'Центр ПК'!I11+'Відділи ДОМНС 802 '!I12+'Центр моніторингу'!I10+'Будинок вчителя'!I10</f>
        <v>#REF!</v>
      </c>
      <c r="J13" s="9" t="e">
        <f>'Школа екстернів'!J10+'Спорт. ліцей'!J13+Палац!J11+'Тур станція'!J11+МАН!J11+ПТУ!J11+'Грінченка 601'!J13+'Грінченка 602'!J13+#REF!+'Центр ПК'!J11+'Відділи ДОМНС 802 '!J12+'Центр моніторингу'!J10+'Будинок вчителя'!J10</f>
        <v>#REF!</v>
      </c>
      <c r="K13" s="9" t="e">
        <f>'Школа екстернів'!K10+'Спорт. ліцей'!K13+Палац!K11+'Тур станція'!K11+МАН!K11+ПТУ!K11+'Грінченка 601'!K13+'Грінченка 602'!K13+#REF!+'Центр ПК'!K11+'Відділи ДОМНС 802 '!K12+'Центр моніторингу'!K10+'Будинок вчителя'!K10</f>
        <v>#REF!</v>
      </c>
      <c r="L13" s="9" t="e">
        <f>'Школа екстернів'!L10+'Спорт. ліцей'!L13+Палац!L11+'Тур станція'!L11+МАН!L11+ПТУ!L11+'Грінченка 601'!L13+'Грінченка 602'!L13+#REF!+'Центр ПК'!L11+'Відділи ДОМНС 802 '!L12+'Центр моніторингу'!L10+'Будинок вчителя'!L10</f>
        <v>#REF!</v>
      </c>
      <c r="M13" s="9" t="e">
        <f>'Школа екстернів'!M10+'Спорт. ліцей'!M13+Палац!M11+'Тур станція'!M11+МАН!M11+ПТУ!M11+'Грінченка 601'!M13+'Грінченка 602'!M13+#REF!+'Центр ПК'!M11+'Відділи ДОМНС 802 '!M12+'Центр моніторингу'!M10+'Будинок вчителя'!M10</f>
        <v>#REF!</v>
      </c>
      <c r="N13" s="9" t="e">
        <f>'Школа екстернів'!N10+'Спорт. ліцей'!N13+Палац!N11+'Тур станція'!N11+МАН!N11+ПТУ!N11+'Грінченка 601'!N13+'Грінченка 602'!N13+#REF!+'Центр ПК'!N11+'Відділи ДОМНС 802 '!N12+'Центр моніторингу'!N10+'Будинок вчителя'!N10</f>
        <v>#REF!</v>
      </c>
      <c r="O13" s="9" t="e">
        <f>'Школа екстернів'!O10+'Спорт. ліцей'!O13+Палац!O11+'Тур станція'!O11+МАН!O11+ПТУ!O11+'Грінченка 601'!O13+'Грінченка 602'!O13+#REF!+'Центр ПК'!O11+'Відділи ДОМНС 802 '!O12+'Центр моніторингу'!O10+'Будинок вчителя'!O10</f>
        <v>#REF!</v>
      </c>
      <c r="P13" s="9" t="e">
        <f>'Школа екстернів'!P10+'Спорт. ліцей'!P13+Палац!#REF!+'Тур станція'!P11+МАН!P11+ПТУ!P11+'Грінченка 601'!P13+'Грінченка 602'!P13+#REF!+'Центр ПК'!P11+'Відділи ДОМНС 802 '!P12+'Центр моніторингу'!P10+'Будинок вчителя'!P10</f>
        <v>#REF!</v>
      </c>
      <c r="Q13" s="9">
        <f>'Школа екстернів'!Q10+'Спорт. ліцей'!Q13+Палац!P11+'Тур станція'!Q11+МАН!Q11+ПТУ!Q11+'Грінченка 601'!Q13+'Грінченка 701'!Q11+'Грінченка 602'!Q13+'Центр ПК'!Q11+'Центр моніторингу'!Q10+'Відділи ДОМНС 802 '!Q12+'Будинок вчителя'!Q10+БХТТ!P11</f>
        <v>54956.3</v>
      </c>
      <c r="R13" s="9">
        <f>'Школа екстернів'!R10+'Спорт. ліцей'!R13+Палац!Q11+'Тур станція'!R11+МАН!R11+ПТУ!R11+'Грінченка 601'!R13+'Грінченка 701'!R11+'Грінченка 602'!R13+'Центр ПК'!R11+'Центр моніторингу'!R10+'Відділи ДОМНС 802 '!R12+'Будинок вчителя'!R10+БХТТ!Q11</f>
        <v>36664.905000000006</v>
      </c>
      <c r="S13" s="9">
        <f>(R13/Q13)*100</f>
        <v>66.716472906654928</v>
      </c>
      <c r="T13" s="5"/>
      <c r="U13" s="5"/>
    </row>
    <row r="14" spans="1:21" ht="55.5" customHeight="1" x14ac:dyDescent="0.35">
      <c r="A14" s="16"/>
      <c r="B14" s="12">
        <v>2272</v>
      </c>
      <c r="C14" s="36" t="s">
        <v>40</v>
      </c>
      <c r="D14" s="9" t="e">
        <f>'Школа екстернів'!D11+'Спорт. ліцей'!D14+Палац!D12+'Тур станція'!D12+МАН!D12+ПТУ!D12+'Грінченка 601'!D14+'Грінченка 602'!D14+#REF!+'Центр ПК'!D12+'Відділи ДОМНС 802 '!D13+'Центр моніторингу'!D11+'Будинок вчителя'!D11</f>
        <v>#REF!</v>
      </c>
      <c r="E14" s="9" t="e">
        <f>'Школа екстернів'!E11+'Спорт. ліцей'!E14+Палац!E12+'Тур станція'!E12+МАН!E12+ПТУ!E12+'Грінченка 601'!E14+'Грінченка 602'!E14+#REF!+'Центр ПК'!E12+'Відділи ДОМНС 802 '!E13+'Центр моніторингу'!E11+'Будинок вчителя'!E11</f>
        <v>#REF!</v>
      </c>
      <c r="F14" s="9" t="e">
        <f>'Школа екстернів'!F11+'Спорт. ліцей'!F14+Палац!F12+'Тур станція'!F12+МАН!F12+ПТУ!F12+'Грінченка 601'!F14+'Грінченка 602'!F14+#REF!+'Центр ПК'!F12+'Відділи ДОМНС 802 '!F13+'Центр моніторингу'!F11+'Будинок вчителя'!F11</f>
        <v>#REF!</v>
      </c>
      <c r="G14" s="9" t="e">
        <f>'Школа екстернів'!G11+'Спорт. ліцей'!G14+Палац!G12+'Тур станція'!G12+МАН!G12+ПТУ!G12+'Грінченка 601'!G14+'Грінченка 602'!G14+#REF!+'Центр ПК'!G12+'Відділи ДОМНС 802 '!G13+'Центр моніторингу'!G11+'Будинок вчителя'!G11</f>
        <v>#REF!</v>
      </c>
      <c r="H14" s="9" t="e">
        <f>'Школа екстернів'!H11+'Спорт. ліцей'!H14+Палац!H12+'Тур станція'!H12+МАН!H12+ПТУ!H12+'Грінченка 601'!H14+'Грінченка 602'!H14+#REF!+'Центр ПК'!H12+'Відділи ДОМНС 802 '!H13+'Центр моніторингу'!H11+'Будинок вчителя'!H11</f>
        <v>#REF!</v>
      </c>
      <c r="I14" s="9" t="e">
        <f>'Школа екстернів'!I11+'Спорт. ліцей'!I14+Палац!I12+'Тур станція'!I12+МАН!I12+ПТУ!I12+'Грінченка 601'!I14+'Грінченка 602'!I14+#REF!+'Центр ПК'!I12+'Відділи ДОМНС 802 '!I13+'Центр моніторингу'!I11+'Будинок вчителя'!I11</f>
        <v>#REF!</v>
      </c>
      <c r="J14" s="9" t="e">
        <f>'Школа екстернів'!J11+'Спорт. ліцей'!J14+Палац!J12+'Тур станція'!J12+МАН!J12+ПТУ!J12+'Грінченка 601'!J14+'Грінченка 602'!J14+#REF!+'Центр ПК'!J12+'Відділи ДОМНС 802 '!J13+'Центр моніторингу'!J11+'Будинок вчителя'!J11</f>
        <v>#REF!</v>
      </c>
      <c r="K14" s="9" t="e">
        <f>'Школа екстернів'!K11+'Спорт. ліцей'!K14+Палац!K12+'Тур станція'!K12+МАН!K12+ПТУ!K12+'Грінченка 601'!K14+'Грінченка 602'!K14+#REF!+'Центр ПК'!K12+'Відділи ДОМНС 802 '!K13+'Центр моніторингу'!K11+'Будинок вчителя'!K11</f>
        <v>#REF!</v>
      </c>
      <c r="L14" s="9" t="e">
        <f>'Школа екстернів'!L11+'Спорт. ліцей'!L14+Палац!L12+'Тур станція'!L12+МАН!L12+ПТУ!L12+'Грінченка 601'!L14+'Грінченка 602'!L14+#REF!+'Центр ПК'!L12+'Відділи ДОМНС 802 '!L13+'Центр моніторингу'!L11+'Будинок вчителя'!L11</f>
        <v>#REF!</v>
      </c>
      <c r="M14" s="9" t="e">
        <f>'Школа екстернів'!M11+'Спорт. ліцей'!M14+Палац!M12+'Тур станція'!M12+МАН!M12+ПТУ!M12+'Грінченка 601'!M14+'Грінченка 602'!M14+#REF!+'Центр ПК'!M12+'Відділи ДОМНС 802 '!M13+'Центр моніторингу'!M11+'Будинок вчителя'!M11</f>
        <v>#REF!</v>
      </c>
      <c r="N14" s="9" t="e">
        <f>'Школа екстернів'!N11+'Спорт. ліцей'!N14+Палац!N12+'Тур станція'!N12+МАН!N12+ПТУ!N12+'Грінченка 601'!N14+'Грінченка 602'!N14+#REF!+'Центр ПК'!N12+'Відділи ДОМНС 802 '!N13+'Центр моніторингу'!N11+'Будинок вчителя'!N11</f>
        <v>#REF!</v>
      </c>
      <c r="O14" s="9" t="e">
        <f>'Школа екстернів'!O11+'Спорт. ліцей'!O14+Палац!O12+'Тур станція'!O12+МАН!O12+ПТУ!O12+'Грінченка 601'!O14+'Грінченка 602'!O14+#REF!+'Центр ПК'!O12+'Відділи ДОМНС 802 '!O13+'Центр моніторингу'!O11+'Будинок вчителя'!O11</f>
        <v>#REF!</v>
      </c>
      <c r="P14" s="9" t="e">
        <f>'Школа екстернів'!P11+'Спорт. ліцей'!P14+Палац!#REF!+'Тур станція'!P12+МАН!P12+ПТУ!P12+'Грінченка 601'!P14+'Грінченка 602'!P14+#REF!+'Центр ПК'!P12+'Відділи ДОМНС 802 '!P13+'Центр моніторингу'!P11+'Будинок вчителя'!P11</f>
        <v>#REF!</v>
      </c>
      <c r="Q14" s="9">
        <f>'Школа екстернів'!Q11+'Спорт. ліцей'!Q14+Палац!P12+'Тур станція'!Q12+МАН!Q12+ПТУ!Q12+'Грінченка 601'!Q14+'Грінченка 701'!Q12+'Грінченка 602'!Q14+'Центр ПК'!Q12+'Центр моніторингу'!Q11+'Відділи ДОМНС 802 '!Q13+'Будинок вчителя'!Q11+БХТТ!P12</f>
        <v>2958</v>
      </c>
      <c r="R14" s="9">
        <f>'Школа екстернів'!R11+'Спорт. ліцей'!R14+Палац!Q12+'Тур станція'!R12+МАН!R12+ПТУ!R12+'Грінченка 601'!R14+'Грінченка 701'!R12+'Грінченка 602'!R14+'Центр ПК'!R12+'Центр моніторингу'!R11+'Відділи ДОМНС 802 '!R13+'Будинок вчителя'!R11+БХТТ!Q12</f>
        <v>1128.7063000000001</v>
      </c>
      <c r="S14" s="9">
        <f t="shared" ref="S14:S21" si="1">(R14/Q14)*100</f>
        <v>38.157751859364438</v>
      </c>
      <c r="T14" s="5"/>
    </row>
    <row r="15" spans="1:21" ht="30.75" customHeight="1" x14ac:dyDescent="0.35">
      <c r="A15" s="16"/>
      <c r="B15" s="12">
        <v>2273</v>
      </c>
      <c r="C15" s="36" t="s">
        <v>41</v>
      </c>
      <c r="D15" s="9" t="e">
        <f>'Школа екстернів'!D12+'Спорт. ліцей'!D15+Палац!D13+'Тур станція'!D13+МАН!D13+ПТУ!D13+'Грінченка 601'!D15+'Грінченка 602'!D15+#REF!+'Центр ПК'!D13+'Відділи ДОМНС 802 '!D14+'Центр моніторингу'!D12+'Будинок вчителя'!D12</f>
        <v>#REF!</v>
      </c>
      <c r="E15" s="9" t="e">
        <f>'Школа екстернів'!E12+'Спорт. ліцей'!E15+Палац!E13+'Тур станція'!E13+МАН!E13+ПТУ!E13+'Грінченка 601'!E15+'Грінченка 602'!E15+#REF!+'Центр ПК'!E13+'Відділи ДОМНС 802 '!E14+'Центр моніторингу'!E12+'Будинок вчителя'!E12</f>
        <v>#REF!</v>
      </c>
      <c r="F15" s="9" t="e">
        <f>'Школа екстернів'!F12+'Спорт. ліцей'!F15+Палац!F13+'Тур станція'!F13+МАН!F13+ПТУ!F13+'Грінченка 601'!F15+'Грінченка 602'!F15+#REF!+'Центр ПК'!F13+'Відділи ДОМНС 802 '!F14+'Центр моніторингу'!F12+'Будинок вчителя'!F12</f>
        <v>#REF!</v>
      </c>
      <c r="G15" s="9" t="e">
        <f>'Школа екстернів'!G12+'Спорт. ліцей'!G15+Палац!G13+'Тур станція'!G13+МАН!G13+ПТУ!G13+'Грінченка 601'!G15+'Грінченка 602'!G15+#REF!+'Центр ПК'!G13+'Відділи ДОМНС 802 '!G14+'Центр моніторингу'!G12+'Будинок вчителя'!G12</f>
        <v>#REF!</v>
      </c>
      <c r="H15" s="9" t="e">
        <f>'Школа екстернів'!H12+'Спорт. ліцей'!H15+Палац!H13+'Тур станція'!H13+МАН!H13+ПТУ!H13+'Грінченка 601'!H15+'Грінченка 602'!H15+#REF!+'Центр ПК'!H13+'Відділи ДОМНС 802 '!H14+'Центр моніторингу'!H12+'Будинок вчителя'!H12</f>
        <v>#REF!</v>
      </c>
      <c r="I15" s="9" t="e">
        <f>'Школа екстернів'!I12+'Спорт. ліцей'!I15+Палац!I13+'Тур станція'!I13+МАН!I13+ПТУ!I13+'Грінченка 601'!I15+'Грінченка 602'!I15+#REF!+'Центр ПК'!I13+'Відділи ДОМНС 802 '!I14+'Центр моніторингу'!I12+'Будинок вчителя'!I12</f>
        <v>#REF!</v>
      </c>
      <c r="J15" s="9" t="e">
        <f>'Школа екстернів'!J12+'Спорт. ліцей'!J15+Палац!J13+'Тур станція'!J13+МАН!J13+ПТУ!J13+'Грінченка 601'!J15+'Грінченка 602'!J15+#REF!+'Центр ПК'!J13+'Відділи ДОМНС 802 '!J14+'Центр моніторингу'!J12+'Будинок вчителя'!J12</f>
        <v>#REF!</v>
      </c>
      <c r="K15" s="9" t="e">
        <f>'Школа екстернів'!K12+'Спорт. ліцей'!K15+Палац!K13+'Тур станція'!K13+МАН!K13+ПТУ!K13+'Грінченка 601'!K15+'Грінченка 602'!K15+#REF!+'Центр ПК'!K13+'Відділи ДОМНС 802 '!K14+'Центр моніторингу'!K12+'Будинок вчителя'!K12</f>
        <v>#REF!</v>
      </c>
      <c r="L15" s="9" t="e">
        <f>'Школа екстернів'!L12+'Спорт. ліцей'!L15+Палац!L13+'Тур станція'!L13+МАН!L13+ПТУ!L13+'Грінченка 601'!L15+'Грінченка 602'!L15+#REF!+'Центр ПК'!L13+'Відділи ДОМНС 802 '!L14+'Центр моніторингу'!L12+'Будинок вчителя'!L12</f>
        <v>#REF!</v>
      </c>
      <c r="M15" s="9" t="e">
        <f>'Школа екстернів'!M12+'Спорт. ліцей'!M15+Палац!M13+'Тур станція'!M13+МАН!M13+ПТУ!M13+'Грінченка 601'!M15+'Грінченка 602'!M15+#REF!+'Центр ПК'!M13+'Відділи ДОМНС 802 '!M14+'Центр моніторингу'!M12+'Будинок вчителя'!M12</f>
        <v>#REF!</v>
      </c>
      <c r="N15" s="9" t="e">
        <f>'Школа екстернів'!N12+'Спорт. ліцей'!N15+Палац!N13+'Тур станція'!N13+МАН!N13+ПТУ!N13+'Грінченка 601'!N15+'Грінченка 602'!N15+#REF!+'Центр ПК'!N13+'Відділи ДОМНС 802 '!N14+'Центр моніторингу'!N12+'Будинок вчителя'!N12</f>
        <v>#REF!</v>
      </c>
      <c r="O15" s="9" t="e">
        <f>'Школа екстернів'!O12+'Спорт. ліцей'!O15+Палац!O13+'Тур станція'!O13+МАН!O13+ПТУ!O13+'Грінченка 601'!O15+'Грінченка 602'!O15+#REF!+'Центр ПК'!O13+'Відділи ДОМНС 802 '!O14+'Центр моніторингу'!O12+'Будинок вчителя'!O12</f>
        <v>#REF!</v>
      </c>
      <c r="P15" s="9" t="e">
        <f>'Школа екстернів'!P12+'Спорт. ліцей'!P15+Палац!#REF!+'Тур станція'!P13+МАН!P13+ПТУ!P13+'Грінченка 601'!P15+'Грінченка 602'!P15+#REF!+'Центр ПК'!P13+'Відділи ДОМНС 802 '!P14+'Центр моніторингу'!P12+'Будинок вчителя'!P12</f>
        <v>#REF!</v>
      </c>
      <c r="Q15" s="9">
        <f>'Школа екстернів'!Q12+'Спорт. ліцей'!Q15+Палац!P13+'Тур станція'!Q13+МАН!Q13+ПТУ!Q13+'Грінченка 601'!Q15+'Грінченка 701'!Q13+'Грінченка 602'!Q15+'Центр ПК'!Q13+'Центр моніторингу'!Q12+'Відділи ДОМНС 802 '!Q14+'Будинок вчителя'!Q12+БХТТ!P13</f>
        <v>17297.899999999998</v>
      </c>
      <c r="R15" s="9">
        <f>'Школа екстернів'!R12+'Спорт. ліцей'!R15+Палац!Q13+'Тур станція'!R13+МАН!R13+ПТУ!R13+'Грінченка 601'!R15+'Грінченка 701'!R13+'Грінченка 602'!R15+'Центр ПК'!R13+'Центр моніторингу'!R12+'Відділи ДОМНС 802 '!R14+'Будинок вчителя'!R12+БХТТ!Q13</f>
        <v>6957.9419999999991</v>
      </c>
      <c r="S15" s="9">
        <f t="shared" si="1"/>
        <v>40.224200625509454</v>
      </c>
      <c r="T15" s="5"/>
    </row>
    <row r="16" spans="1:21" ht="69.75" customHeight="1" x14ac:dyDescent="0.35">
      <c r="A16" s="16"/>
      <c r="B16" s="12">
        <v>2282</v>
      </c>
      <c r="C16" s="36" t="s">
        <v>45</v>
      </c>
      <c r="D16" s="9" t="e">
        <f>Палац!D14+'Тур станція'!D14+МАН!D14+#REF!+'Центр ПК'!D14+'Відділи ДОМНС 802 '!D15+'Відділи ДОМНС 401 (2)'!D7</f>
        <v>#REF!</v>
      </c>
      <c r="E16" s="9" t="e">
        <f>Палац!E14+'Тур станція'!E14+МАН!E14+#REF!+'Центр ПК'!E14+'Відділи ДОМНС 802 '!E15+'Відділи ДОМНС 401 (2)'!E7</f>
        <v>#REF!</v>
      </c>
      <c r="F16" s="9" t="e">
        <f>Палац!F14+'Тур станція'!F14+МАН!F14+#REF!+'Центр ПК'!F14+'Відділи ДОМНС 802 '!F15+'Відділи ДОМНС 401 (2)'!F7</f>
        <v>#REF!</v>
      </c>
      <c r="G16" s="9" t="e">
        <f>Палац!G14+'Тур станція'!G14+МАН!G14+#REF!+'Центр ПК'!G14+'Відділи ДОМНС 802 '!G15+'Відділи ДОМНС 401 (2)'!G7</f>
        <v>#REF!</v>
      </c>
      <c r="H16" s="9" t="e">
        <f>Палац!H14+'Тур станція'!H14+МАН!H14+#REF!+'Центр ПК'!H14+'Відділи ДОМНС 802 '!H15+'Відділи ДОМНС 401 (2)'!H7</f>
        <v>#REF!</v>
      </c>
      <c r="I16" s="9" t="e">
        <f>Палац!I14+'Тур станція'!I14+МАН!I14+#REF!+'Центр ПК'!I14+'Відділи ДОМНС 802 '!I15+'Відділи ДОМНС 401 (2)'!I7</f>
        <v>#REF!</v>
      </c>
      <c r="J16" s="9" t="e">
        <f>Палац!J14+'Тур станція'!J14+МАН!J14+#REF!+'Центр ПК'!J14+'Відділи ДОМНС 802 '!J15+'Відділи ДОМНС 401 (2)'!J7</f>
        <v>#REF!</v>
      </c>
      <c r="K16" s="9" t="e">
        <f>Палац!K14+'Тур станція'!K14+МАН!K14+#REF!+'Центр ПК'!K14+'Відділи ДОМНС 802 '!K15+'Відділи ДОМНС 401 (2)'!K7</f>
        <v>#REF!</v>
      </c>
      <c r="L16" s="9" t="e">
        <f>Палац!L14+'Тур станція'!L14+МАН!L14+#REF!+'Центр ПК'!L14+'Відділи ДОМНС 802 '!L15+'Відділи ДОМНС 401 (2)'!L7</f>
        <v>#REF!</v>
      </c>
      <c r="M16" s="9" t="e">
        <f>Палац!M14+'Тур станція'!M14+МАН!M14+#REF!+'Центр ПК'!M14+'Відділи ДОМНС 802 '!M15+'Відділи ДОМНС 401 (2)'!M7</f>
        <v>#REF!</v>
      </c>
      <c r="N16" s="9" t="e">
        <f>Палац!N14+'Тур станція'!N14+МАН!N14+#REF!+'Центр ПК'!N14+'Відділи ДОМНС 802 '!N15+'Відділи ДОМНС 401 (2)'!N7</f>
        <v>#REF!</v>
      </c>
      <c r="O16" s="9" t="e">
        <f>Палац!O14+'Тур станція'!O14+МАН!O14+#REF!+'Центр ПК'!O14+'Відділи ДОМНС 802 '!O15+'Відділи ДОМНС 401 (2)'!O7</f>
        <v>#REF!</v>
      </c>
      <c r="P16" s="9" t="e">
        <f>Палац!#REF!+'Тур станція'!P14+МАН!P14+#REF!+'Центр ПК'!P14+'Відділи ДОМНС 802 '!P15+'Відділи ДОМНС 401 (2)'!P7</f>
        <v>#REF!</v>
      </c>
      <c r="Q16" s="9">
        <f>Палац!P14+'Тур станція'!Q14+МАН!Q14+БХТТ!P14+'Відділи ДОМНС 401 (2)'!Q7+'Грінченка 701'!Q14+'Центр ПК'!Q14+'Відділи ДОМНС 802 '!Q15</f>
        <v>1509.5</v>
      </c>
      <c r="R16" s="9">
        <f>Палац!Q14+'Тур станція'!R14+МАН!R14+БХТТ!Q14+'Відділи ДОМНС 401 (2)'!R7+'Грінченка 701'!R14+'Центр ПК'!R14+'Відділи ДОМНС 802 '!R15</f>
        <v>240.5</v>
      </c>
      <c r="S16" s="9">
        <f t="shared" si="1"/>
        <v>15.932427956276912</v>
      </c>
      <c r="T16" s="5"/>
      <c r="U16" s="5"/>
    </row>
    <row r="17" spans="1:22" ht="60.6" customHeight="1" x14ac:dyDescent="0.35">
      <c r="A17" s="16"/>
      <c r="B17" s="12">
        <v>2610</v>
      </c>
      <c r="C17" s="36" t="s">
        <v>81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>'Група впровадження (807)'!P6</f>
        <v>12034</v>
      </c>
      <c r="R17" s="9">
        <f>'Група впровадження (807)'!Q6</f>
        <v>4206.0959999999995</v>
      </c>
      <c r="S17" s="9">
        <f t="shared" si="1"/>
        <v>34.951769985042375</v>
      </c>
      <c r="T17" s="5"/>
    </row>
    <row r="18" spans="1:22" ht="25.2" customHeight="1" x14ac:dyDescent="0.35">
      <c r="A18" s="16"/>
      <c r="B18" s="12">
        <v>2720</v>
      </c>
      <c r="C18" s="36" t="s">
        <v>48</v>
      </c>
      <c r="D18" s="9">
        <f>ПТУ!D15+'Грінченка 601'!D16+'Грінченка 602'!D16</f>
        <v>64848.7</v>
      </c>
      <c r="E18" s="9">
        <f>ПТУ!E15+'Грінченка 601'!E16+'Грінченка 602'!E16</f>
        <v>5471.7000000000007</v>
      </c>
      <c r="F18" s="9">
        <f>ПТУ!F15+'Грінченка 601'!F16+'Грінченка 602'!F16</f>
        <v>9218.7000000000007</v>
      </c>
      <c r="G18" s="9">
        <f>ПТУ!G15+'Грінченка 601'!G16+'Грінченка 602'!G16</f>
        <v>5459.9</v>
      </c>
      <c r="H18" s="9">
        <f>ПТУ!H15+'Грінченка 601'!H16+'Грінченка 602'!H16</f>
        <v>5361.7</v>
      </c>
      <c r="I18" s="9">
        <f>ПТУ!I15+'Грінченка 601'!I16+'Грінченка 602'!I16</f>
        <v>5293.9</v>
      </c>
      <c r="J18" s="9">
        <f>ПТУ!J15+'Грінченка 601'!J16+'Грінченка 602'!J16</f>
        <v>5295</v>
      </c>
      <c r="K18" s="9">
        <f>ПТУ!K15+'Грінченка 601'!K16+'Грінченка 602'!K16</f>
        <v>2260.6</v>
      </c>
      <c r="L18" s="9">
        <f>ПТУ!L15+'Грінченка 601'!L16+'Грінченка 602'!L16</f>
        <v>2882.8999999999996</v>
      </c>
      <c r="M18" s="9">
        <f>ПТУ!M15+'Грінченка 601'!M16+'Грінченка 602'!M16</f>
        <v>5876.2000000000007</v>
      </c>
      <c r="N18" s="9">
        <f>ПТУ!N15+'Грінченка 601'!N16+'Грінченка 602'!N16</f>
        <v>5920</v>
      </c>
      <c r="O18" s="9">
        <f>ПТУ!O15+'Грінченка 601'!O16+'Грінченка 602'!O16</f>
        <v>5888.1</v>
      </c>
      <c r="P18" s="9">
        <f>ПТУ!P15+'Грінченка 601'!P16+'Грінченка 602'!P16</f>
        <v>5920</v>
      </c>
      <c r="Q18" s="9">
        <f>'Грінченка 601'!Q16+'Грінченка 602'!Q16+ПТУ!Q15</f>
        <v>94739.3</v>
      </c>
      <c r="R18" s="9">
        <f>'Грінченка 601'!R16+'Грінченка 602'!R16+ПТУ!R15</f>
        <v>67785.297999999995</v>
      </c>
      <c r="S18" s="9">
        <f t="shared" si="1"/>
        <v>71.549291582268381</v>
      </c>
      <c r="T18" s="5"/>
      <c r="U18" s="5"/>
    </row>
    <row r="19" spans="1:22" ht="44.25" customHeight="1" x14ac:dyDescent="0.35">
      <c r="A19" s="16"/>
      <c r="B19" s="12">
        <v>2730</v>
      </c>
      <c r="C19" s="36" t="s">
        <v>46</v>
      </c>
      <c r="D19" s="9" t="e">
        <f>МАН!D15+ПТУ!D16+'Грінченка 601'!D17+'Грінченка 602'!D17+'Центр ПК'!D15+'Відділи ДОМНС 802 '!D16+'Відділи ДОМНС 807 (2)'!#REF!+'Відділи ДОМНС 401 (2)'!D9</f>
        <v>#REF!</v>
      </c>
      <c r="E19" s="9" t="e">
        <f>МАН!E15+ПТУ!E16+'Грінченка 601'!E17+'Грінченка 602'!E17+'Центр ПК'!E15+'Відділи ДОМНС 802 '!E16+'Відділи ДОМНС 807 (2)'!#REF!+'Відділи ДОМНС 401 (2)'!E9</f>
        <v>#REF!</v>
      </c>
      <c r="F19" s="9" t="e">
        <f>МАН!F15+ПТУ!F16+'Грінченка 601'!F17+'Грінченка 602'!F17+'Центр ПК'!F15+'Відділи ДОМНС 802 '!F16+'Відділи ДОМНС 807 (2)'!#REF!+'Відділи ДОМНС 401 (2)'!F9</f>
        <v>#REF!</v>
      </c>
      <c r="G19" s="9" t="e">
        <f>МАН!G15+ПТУ!G16+'Грінченка 601'!G17+'Грінченка 602'!G17+'Центр ПК'!G15+'Відділи ДОМНС 802 '!G16+'Відділи ДОМНС 807 (2)'!#REF!+'Відділи ДОМНС 401 (2)'!G9</f>
        <v>#REF!</v>
      </c>
      <c r="H19" s="9" t="e">
        <f>МАН!H15+ПТУ!H16+'Грінченка 601'!H17+'Грінченка 602'!H17+'Центр ПК'!H15+'Відділи ДОМНС 802 '!H16+'Відділи ДОМНС 807 (2)'!#REF!+'Відділи ДОМНС 401 (2)'!H9</f>
        <v>#REF!</v>
      </c>
      <c r="I19" s="9" t="e">
        <f>МАН!I15+ПТУ!I16+'Грінченка 601'!I17+'Грінченка 602'!I17+'Центр ПК'!I15+'Відділи ДОМНС 802 '!I16+'Відділи ДОМНС 807 (2)'!#REF!+'Відділи ДОМНС 401 (2)'!I9</f>
        <v>#REF!</v>
      </c>
      <c r="J19" s="9" t="e">
        <f>МАН!J15+ПТУ!J16+'Грінченка 601'!J17+'Грінченка 602'!J17+'Центр ПК'!J15+'Відділи ДОМНС 802 '!J16+'Відділи ДОМНС 807 (2)'!#REF!+'Відділи ДОМНС 401 (2)'!J9</f>
        <v>#REF!</v>
      </c>
      <c r="K19" s="9" t="e">
        <f>МАН!K15+ПТУ!K16+'Грінченка 601'!K17+'Грінченка 602'!K17+'Центр ПК'!K15+'Відділи ДОМНС 802 '!K16+'Відділи ДОМНС 807 (2)'!#REF!+'Відділи ДОМНС 401 (2)'!K9</f>
        <v>#REF!</v>
      </c>
      <c r="L19" s="9" t="e">
        <f>МАН!L15+ПТУ!L16+'Грінченка 601'!L17+'Грінченка 602'!L17+'Центр ПК'!L15+'Відділи ДОМНС 802 '!L16+'Відділи ДОМНС 807 (2)'!#REF!+'Відділи ДОМНС 401 (2)'!L9</f>
        <v>#REF!</v>
      </c>
      <c r="M19" s="9" t="e">
        <f>МАН!M15+ПТУ!M16+'Грінченка 601'!M17+'Грінченка 602'!M17+'Центр ПК'!M15+'Відділи ДОМНС 802 '!M16+'Відділи ДОМНС 807 (2)'!#REF!+'Відділи ДОМНС 401 (2)'!M9</f>
        <v>#REF!</v>
      </c>
      <c r="N19" s="9" t="e">
        <f>МАН!N15+ПТУ!N16+'Грінченка 601'!N17+'Грінченка 602'!N17+'Центр ПК'!N15+'Відділи ДОМНС 802 '!N16+'Відділи ДОМНС 807 (2)'!#REF!+'Відділи ДОМНС 401 (2)'!N9</f>
        <v>#REF!</v>
      </c>
      <c r="O19" s="9" t="e">
        <f>МАН!O15+ПТУ!O16+'Грінченка 601'!O17+'Грінченка 602'!O17+'Центр ПК'!O15+'Відділи ДОМНС 802 '!O16+'Відділи ДОМНС 807 (2)'!#REF!+'Відділи ДОМНС 401 (2)'!O9</f>
        <v>#REF!</v>
      </c>
      <c r="P19" s="9" t="e">
        <f>МАН!P15+ПТУ!P16+'Грінченка 601'!P17+'Грінченка 602'!P17+'Центр ПК'!P15+'Відділи ДОМНС 802 '!P16+'Відділи ДОМНС 807 (2)'!#REF!+'Відділи ДОМНС 401 (2)'!P9</f>
        <v>#REF!</v>
      </c>
      <c r="Q19" s="9">
        <f>МАН!Q15+'Відділи ДОМНС 401 (2)'!Q9+ПТУ!Q16+'Грінченка 601'!Q17+'Грінченка 701'!Q15+'Грінченка 602'!Q17+'Центр ПК'!Q15+'Відділи ДОМНС 802 '!Q16</f>
        <v>9109.2000000000007</v>
      </c>
      <c r="R19" s="9">
        <f>МАН!R15+'Відділи ДОМНС 401 (2)'!R9+ПТУ!R16+'Грінченка 601'!R17+'Грінченка 701'!R15+'Грінченка 602'!R17+'Центр ПК'!R15+'Відділи ДОМНС 802 '!R16</f>
        <v>1677.9590000000001</v>
      </c>
      <c r="S19" s="9">
        <f t="shared" si="1"/>
        <v>18.420486980195847</v>
      </c>
      <c r="T19" s="5"/>
      <c r="U19" s="5"/>
    </row>
    <row r="20" spans="1:22" ht="27.75" customHeight="1" x14ac:dyDescent="0.35">
      <c r="A20" s="20"/>
      <c r="B20" s="21">
        <v>2800</v>
      </c>
      <c r="C20" s="36" t="s">
        <v>47</v>
      </c>
      <c r="D20" s="9">
        <f>МАН!D16</f>
        <v>8.9</v>
      </c>
      <c r="E20" s="9">
        <f>МАН!E16</f>
        <v>0.3</v>
      </c>
      <c r="F20" s="9">
        <f>МАН!F16</f>
        <v>0.7</v>
      </c>
      <c r="G20" s="9">
        <f>МАН!G16</f>
        <v>0.7</v>
      </c>
      <c r="H20" s="9">
        <f>МАН!H16</f>
        <v>0.8</v>
      </c>
      <c r="I20" s="9">
        <f>МАН!I16</f>
        <v>0.8</v>
      </c>
      <c r="J20" s="9">
        <f>МАН!J16</f>
        <v>0.8</v>
      </c>
      <c r="K20" s="9">
        <f>МАН!K16</f>
        <v>0.8</v>
      </c>
      <c r="L20" s="9">
        <f>МАН!L16</f>
        <v>0.8</v>
      </c>
      <c r="M20" s="9">
        <f>МАН!M16</f>
        <v>0.8</v>
      </c>
      <c r="N20" s="9">
        <f>МАН!N16</f>
        <v>0.8</v>
      </c>
      <c r="O20" s="9">
        <f>МАН!O16</f>
        <v>0.8</v>
      </c>
      <c r="P20" s="9">
        <f>МАН!P16</f>
        <v>0.8</v>
      </c>
      <c r="Q20" s="9">
        <f>МАН!Q16</f>
        <v>10</v>
      </c>
      <c r="R20" s="9">
        <f>МАН!R16</f>
        <v>5.5</v>
      </c>
      <c r="S20" s="9">
        <f t="shared" si="1"/>
        <v>55.000000000000007</v>
      </c>
      <c r="T20" s="5"/>
      <c r="U20" s="5"/>
    </row>
    <row r="21" spans="1:22" ht="42.75" hidden="1" customHeight="1" x14ac:dyDescent="0.3">
      <c r="A21" s="20"/>
      <c r="B21" s="21"/>
      <c r="C21" s="3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f>Палац!P18+'Тур станція'!Q18+МАН!Q18+'Відділи ДОМНС 401 (2)'!Q11+'Грінченка 701'!Q18+'Центр ПК'!Q18+'Відділи ДОМНС 802 '!Q19+БХТТ!P18</f>
        <v>0</v>
      </c>
      <c r="R21" s="9"/>
      <c r="S21" s="9" t="e">
        <f t="shared" si="1"/>
        <v>#DIV/0!</v>
      </c>
    </row>
    <row r="22" spans="1:22" x14ac:dyDescent="0.35">
      <c r="A22" s="16"/>
      <c r="B22" s="12"/>
      <c r="C22" s="37"/>
      <c r="D22" s="9" t="e">
        <f>'Школа екстернів'!D13+'Спорт. ліцей'!D16+Палац!D15+'Тур станція'!D15+МАН!D17+ПТУ!D17+'Грінченка 601'!D18+'Грінченка 602'!D18+#REF!+'Центр ПК'!D16+'Центр моніторингу'!D13+'Відділи ДОМНС 802 '!D18+'Відділи ДОМНС 803'!D10+'Відділи ДОМНС 804'!D10+'Відділи ДОМНС 807 (2)'!D8+'Відділи ДОМНС 401 (2)'!D10+'Відділи ДОМНС201'!D8+'Будинок вчителя'!D13</f>
        <v>#REF!</v>
      </c>
      <c r="E22" s="9" t="e">
        <f>'Школа екстернів'!E13+'Спорт. ліцей'!E16+Палац!E15+'Тур станція'!E15+МАН!E17+ПТУ!E17+'Грінченка 601'!E18+'Грінченка 602'!E18+#REF!+'Центр ПК'!E16+'Центр моніторингу'!E13+'Відділи ДОМНС 802 '!E18+'Відділи ДОМНС 803'!E10+'Відділи ДОМНС 804'!E10+'Відділи ДОМНС 807 (2)'!E8+'Відділи ДОМНС 401 (2)'!E10+'Відділи ДОМНС201'!E8+'Будинок вчителя'!E13</f>
        <v>#REF!</v>
      </c>
      <c r="F22" s="9" t="e">
        <f>'Школа екстернів'!F13+'Спорт. ліцей'!F16+Палац!F15+'Тур станція'!F15+МАН!F17+ПТУ!F17+'Грінченка 601'!F18+'Грінченка 602'!F18+#REF!+'Центр ПК'!F16+'Центр моніторингу'!F13+'Відділи ДОМНС 802 '!F18+'Відділи ДОМНС 803'!F10+'Відділи ДОМНС 804'!F10+'Відділи ДОМНС 807 (2)'!F8+'Відділи ДОМНС 401 (2)'!F10+'Відділи ДОМНС201'!F8+'Будинок вчителя'!F13</f>
        <v>#REF!</v>
      </c>
      <c r="G22" s="9" t="e">
        <f>'Школа екстернів'!G13+'Спорт. ліцей'!G16+Палац!G15+'Тур станція'!G15+МАН!G17+ПТУ!G17+'Грінченка 601'!G18+'Грінченка 602'!G18+#REF!+'Центр ПК'!G16+'Центр моніторингу'!G13+'Відділи ДОМНС 802 '!G18+'Відділи ДОМНС 803'!G10+'Відділи ДОМНС 804'!G10+'Відділи ДОМНС 807 (2)'!G8+'Відділи ДОМНС 401 (2)'!G10+'Відділи ДОМНС201'!G8+'Будинок вчителя'!G13</f>
        <v>#REF!</v>
      </c>
      <c r="H22" s="9" t="e">
        <f>'Школа екстернів'!H13+'Спорт. ліцей'!H16+Палац!H15+'Тур станція'!H15+МАН!H17+ПТУ!H17+'Грінченка 601'!H18+'Грінченка 602'!H18+#REF!+'Центр ПК'!H16+'Центр моніторингу'!H13+'Відділи ДОМНС 802 '!H18+'Відділи ДОМНС 803'!H10+'Відділи ДОМНС 804'!H10+'Відділи ДОМНС 807 (2)'!H8+'Відділи ДОМНС 401 (2)'!H10+'Відділи ДОМНС201'!H8+'Будинок вчителя'!H13</f>
        <v>#REF!</v>
      </c>
      <c r="I22" s="9" t="e">
        <f>'Школа екстернів'!I13+'Спорт. ліцей'!I16+Палац!I15+'Тур станція'!I15+МАН!I17+ПТУ!I17+'Грінченка 601'!I18+'Грінченка 602'!I18+#REF!+'Центр ПК'!I16+'Центр моніторингу'!I13+'Відділи ДОМНС 802 '!I18+'Відділи ДОМНС 803'!I10+'Відділи ДОМНС 804'!I10+'Відділи ДОМНС 807 (2)'!I8+'Відділи ДОМНС 401 (2)'!I10+'Відділи ДОМНС201'!I8+'Будинок вчителя'!I13</f>
        <v>#REF!</v>
      </c>
      <c r="J22" s="9" t="e">
        <f>'Школа екстернів'!J13+'Спорт. ліцей'!J16+Палац!J15+'Тур станція'!J15+МАН!J17+ПТУ!J17+'Грінченка 601'!J18+'Грінченка 602'!J18+#REF!+'Центр ПК'!J16+'Центр моніторингу'!J13+'Відділи ДОМНС 802 '!J18+'Відділи ДОМНС 803'!J10+'Відділи ДОМНС 804'!J10+'Відділи ДОМНС 807 (2)'!J8+'Відділи ДОМНС 401 (2)'!J10+'Відділи ДОМНС201'!J8+'Будинок вчителя'!J13</f>
        <v>#REF!</v>
      </c>
      <c r="K22" s="9" t="e">
        <f>'Школа екстернів'!K13+'Спорт. ліцей'!K16+Палац!K15+'Тур станція'!K15+МАН!K17+ПТУ!K17+'Грінченка 601'!K18+'Грінченка 602'!K18+#REF!+'Центр ПК'!K16+'Центр моніторингу'!K13+'Відділи ДОМНС 802 '!K18+'Відділи ДОМНС 803'!K10+'Відділи ДОМНС 804'!K10+'Відділи ДОМНС 807 (2)'!K8+'Відділи ДОМНС 401 (2)'!K10+'Відділи ДОМНС201'!K8+'Будинок вчителя'!K13</f>
        <v>#REF!</v>
      </c>
      <c r="L22" s="9" t="e">
        <f>'Школа екстернів'!L13+'Спорт. ліцей'!L16+Палац!L15+'Тур станція'!L15+МАН!L17+ПТУ!L17+'Грінченка 601'!L18+'Грінченка 602'!L18+#REF!+'Центр ПК'!L16+'Центр моніторингу'!L13+'Відділи ДОМНС 802 '!L18+'Відділи ДОМНС 803'!L10+'Відділи ДОМНС 804'!L10+'Відділи ДОМНС 807 (2)'!L8+'Відділи ДОМНС 401 (2)'!L10+'Відділи ДОМНС201'!L8+'Будинок вчителя'!L13</f>
        <v>#REF!</v>
      </c>
      <c r="M22" s="9" t="e">
        <f>'Школа екстернів'!M13+'Спорт. ліцей'!M16+Палац!M15+'Тур станція'!M15+МАН!M17+ПТУ!M17+'Грінченка 601'!M18+'Грінченка 602'!M18+#REF!+'Центр ПК'!M16+'Центр моніторингу'!M13+'Відділи ДОМНС 802 '!M18+'Відділи ДОМНС 803'!M10+'Відділи ДОМНС 804'!M10+'Відділи ДОМНС 807 (2)'!M8+'Відділи ДОМНС 401 (2)'!M10+'Відділи ДОМНС201'!M8+'Будинок вчителя'!M13</f>
        <v>#REF!</v>
      </c>
      <c r="N22" s="9" t="e">
        <f>'Школа екстернів'!N13+'Спорт. ліцей'!N16+Палац!N15+'Тур станція'!N15+МАН!N17+ПТУ!N17+'Грінченка 601'!N18+'Грінченка 602'!N18+#REF!+'Центр ПК'!N16+'Центр моніторингу'!N13+'Відділи ДОМНС 802 '!N18+'Відділи ДОМНС 803'!N10+'Відділи ДОМНС 804'!N10+'Відділи ДОМНС 807 (2)'!N8+'Відділи ДОМНС 401 (2)'!N10+'Відділи ДОМНС201'!N8+'Будинок вчителя'!N13</f>
        <v>#REF!</v>
      </c>
      <c r="O22" s="9" t="e">
        <f>'Школа екстернів'!O13+'Спорт. ліцей'!O16+Палац!O15+'Тур станція'!O15+МАН!O17+ПТУ!O17+'Грінченка 601'!O18+'Грінченка 602'!O18+#REF!+'Центр ПК'!O16+'Центр моніторингу'!O13+'Відділи ДОМНС 802 '!O18+'Відділи ДОМНС 803'!O10+'Відділи ДОМНС 804'!O10+'Відділи ДОМНС 807 (2)'!O8+'Відділи ДОМНС 401 (2)'!O10+'Відділи ДОМНС201'!O8+'Будинок вчителя'!O13</f>
        <v>#REF!</v>
      </c>
      <c r="P22" s="9" t="e">
        <f>'Школа екстернів'!P13+'Спорт. ліцей'!P16+Палац!#REF!+'Тур станція'!P15+МАН!P17+ПТУ!P17+'Грінченка 601'!P18+'Грінченка 602'!P18+#REF!+'Центр ПК'!P16+'Центр моніторингу'!P13+'Відділи ДОМНС 802 '!P18+'Відділи ДОМНС 803'!P10+'Відділи ДОМНС 804'!P10+'Відділи ДОМНС 807 (2)'!P8+'Відділи ДОМНС 401 (2)'!P10+'Відділи ДОМНС201'!P8+'Будинок вчителя'!P13</f>
        <v>#REF!</v>
      </c>
      <c r="Q22" s="9">
        <f>Q6+Q7+Q8+Q9+Q10+Q11+Q12+Q16+Q17+Q18+Q19+Q20</f>
        <v>621580.5</v>
      </c>
      <c r="R22" s="9">
        <f>R6+R7+R8+R9+R10+R11+R12+R16+R17+R18+R19+R20</f>
        <v>425555.42830000003</v>
      </c>
      <c r="S22" s="9">
        <f>(R22/Q22)*100</f>
        <v>68.463445732290523</v>
      </c>
      <c r="T22" s="92"/>
    </row>
    <row r="23" spans="1:22" x14ac:dyDescent="0.35">
      <c r="B23" s="22"/>
      <c r="C23" s="22"/>
      <c r="D23" s="29"/>
      <c r="Q23" s="5"/>
      <c r="R23" s="29"/>
    </row>
    <row r="24" spans="1:22" ht="21.75" customHeight="1" x14ac:dyDescent="0.35">
      <c r="A24" s="71"/>
      <c r="B24" s="72"/>
      <c r="C24" s="72"/>
      <c r="D24" s="73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5"/>
      <c r="R24" s="70"/>
      <c r="U24" s="92"/>
      <c r="V24" s="92"/>
    </row>
    <row r="25" spans="1:22" x14ac:dyDescent="0.35">
      <c r="B25" s="22"/>
      <c r="C25" s="22"/>
      <c r="D25" s="22"/>
    </row>
    <row r="26" spans="1:22" x14ac:dyDescent="0.35">
      <c r="B26" s="22"/>
      <c r="C26" s="22"/>
      <c r="D26" s="22"/>
    </row>
    <row r="27" spans="1:22" x14ac:dyDescent="0.35">
      <c r="B27" s="22"/>
      <c r="C27" s="22"/>
      <c r="D27" s="22"/>
    </row>
    <row r="28" spans="1:22" x14ac:dyDescent="0.35">
      <c r="B28" s="22"/>
      <c r="C28" s="22"/>
      <c r="D28" s="22"/>
    </row>
    <row r="29" spans="1:22" x14ac:dyDescent="0.35">
      <c r="B29" s="22"/>
      <c r="C29" s="22"/>
      <c r="D29" s="22"/>
    </row>
    <row r="30" spans="1:22" x14ac:dyDescent="0.35">
      <c r="B30" s="22"/>
      <c r="C30" s="22"/>
      <c r="D30" s="22"/>
    </row>
    <row r="31" spans="1:22" x14ac:dyDescent="0.35">
      <c r="B31" s="22"/>
      <c r="C31" s="22"/>
      <c r="D31" s="22"/>
    </row>
    <row r="32" spans="1:22" x14ac:dyDescent="0.35">
      <c r="B32" s="22"/>
      <c r="C32" s="22"/>
      <c r="D32" s="22"/>
    </row>
    <row r="33" spans="2:4" x14ac:dyDescent="0.35">
      <c r="B33" s="22"/>
      <c r="C33" s="22"/>
      <c r="D33" s="22"/>
    </row>
    <row r="34" spans="2:4" x14ac:dyDescent="0.35">
      <c r="B34" s="22"/>
      <c r="C34" s="22"/>
      <c r="D34" s="22"/>
    </row>
    <row r="35" spans="2:4" x14ac:dyDescent="0.35">
      <c r="B35" s="22"/>
      <c r="C35" s="22"/>
      <c r="D35" s="22"/>
    </row>
    <row r="36" spans="2:4" x14ac:dyDescent="0.35">
      <c r="B36" s="22"/>
      <c r="C36" s="22"/>
      <c r="D36" s="22"/>
    </row>
    <row r="37" spans="2:4" x14ac:dyDescent="0.35">
      <c r="B37" s="22"/>
      <c r="C37" s="22"/>
      <c r="D37" s="22"/>
    </row>
    <row r="38" spans="2:4" x14ac:dyDescent="0.35">
      <c r="B38" s="22"/>
      <c r="C38" s="22"/>
      <c r="D38" s="22"/>
    </row>
    <row r="39" spans="2:4" x14ac:dyDescent="0.35">
      <c r="B39" s="22"/>
      <c r="C39" s="22"/>
      <c r="D39" s="22"/>
    </row>
    <row r="40" spans="2:4" x14ac:dyDescent="0.35">
      <c r="B40" s="22"/>
      <c r="C40" s="22"/>
      <c r="D40" s="22"/>
    </row>
    <row r="41" spans="2:4" x14ac:dyDescent="0.35">
      <c r="B41" s="22"/>
      <c r="C41" s="22"/>
      <c r="D41" s="22"/>
    </row>
    <row r="42" spans="2:4" x14ac:dyDescent="0.35">
      <c r="B42" s="22"/>
      <c r="C42" s="22"/>
      <c r="D42" s="22"/>
    </row>
    <row r="43" spans="2:4" x14ac:dyDescent="0.35">
      <c r="B43" s="22"/>
      <c r="C43" s="22"/>
      <c r="D43" s="22"/>
    </row>
    <row r="44" spans="2:4" x14ac:dyDescent="0.35">
      <c r="B44" s="22"/>
      <c r="C44" s="22"/>
      <c r="D44" s="22"/>
    </row>
    <row r="45" spans="2:4" x14ac:dyDescent="0.35">
      <c r="B45" s="22"/>
      <c r="C45" s="22"/>
      <c r="D45" s="22"/>
    </row>
    <row r="46" spans="2:4" x14ac:dyDescent="0.35">
      <c r="B46" s="22"/>
      <c r="C46" s="22"/>
      <c r="D46" s="22"/>
    </row>
    <row r="47" spans="2:4" x14ac:dyDescent="0.35">
      <c r="B47" s="22"/>
      <c r="C47" s="22"/>
      <c r="D47" s="22"/>
    </row>
    <row r="48" spans="2:4" x14ac:dyDescent="0.35">
      <c r="B48" s="22"/>
      <c r="C48" s="22"/>
      <c r="D48" s="22"/>
    </row>
    <row r="49" spans="2:4" x14ac:dyDescent="0.35">
      <c r="B49" s="22"/>
      <c r="C49" s="22"/>
      <c r="D49" s="22"/>
    </row>
    <row r="50" spans="2:4" x14ac:dyDescent="0.35">
      <c r="B50" s="22"/>
      <c r="C50" s="22"/>
      <c r="D50" s="22"/>
    </row>
    <row r="51" spans="2:4" x14ac:dyDescent="0.35">
      <c r="B51" s="22"/>
      <c r="C51" s="22"/>
      <c r="D51" s="22"/>
    </row>
    <row r="52" spans="2:4" x14ac:dyDescent="0.35">
      <c r="B52" s="22"/>
      <c r="C52" s="22"/>
      <c r="D52" s="22"/>
    </row>
    <row r="53" spans="2:4" x14ac:dyDescent="0.35">
      <c r="B53" s="22"/>
      <c r="C53" s="22"/>
      <c r="D53" s="22"/>
    </row>
    <row r="54" spans="2:4" x14ac:dyDescent="0.35">
      <c r="B54" s="22"/>
      <c r="C54" s="22"/>
      <c r="D54" s="22"/>
    </row>
    <row r="55" spans="2:4" x14ac:dyDescent="0.35">
      <c r="B55" s="22"/>
      <c r="C55" s="22"/>
      <c r="D55" s="22"/>
    </row>
    <row r="56" spans="2:4" x14ac:dyDescent="0.35">
      <c r="B56" s="22"/>
      <c r="C56" s="22"/>
      <c r="D56" s="22"/>
    </row>
    <row r="57" spans="2:4" x14ac:dyDescent="0.35">
      <c r="B57" s="22"/>
      <c r="C57" s="22"/>
      <c r="D57" s="22"/>
    </row>
    <row r="58" spans="2:4" x14ac:dyDescent="0.35">
      <c r="B58" s="22"/>
      <c r="C58" s="22"/>
      <c r="D58" s="22"/>
    </row>
    <row r="59" spans="2:4" x14ac:dyDescent="0.35">
      <c r="B59" s="22"/>
      <c r="C59" s="22"/>
      <c r="D59" s="22"/>
    </row>
    <row r="60" spans="2:4" x14ac:dyDescent="0.35">
      <c r="B60" s="22"/>
      <c r="C60" s="22"/>
      <c r="D60" s="22"/>
    </row>
    <row r="61" spans="2:4" x14ac:dyDescent="0.35">
      <c r="B61" s="22"/>
      <c r="C61" s="22"/>
      <c r="D61" s="22"/>
    </row>
    <row r="62" spans="2:4" x14ac:dyDescent="0.35">
      <c r="B62" s="22"/>
      <c r="C62" s="22"/>
      <c r="D62" s="22"/>
    </row>
    <row r="63" spans="2:4" x14ac:dyDescent="0.35">
      <c r="B63" s="22"/>
      <c r="C63" s="22"/>
      <c r="D63" s="22"/>
    </row>
    <row r="64" spans="2:4" x14ac:dyDescent="0.35">
      <c r="B64" s="22"/>
      <c r="C64" s="22"/>
      <c r="D64" s="22"/>
    </row>
    <row r="65" spans="2:4" x14ac:dyDescent="0.35">
      <c r="B65" s="22"/>
      <c r="C65" s="22"/>
      <c r="D65" s="22"/>
    </row>
    <row r="66" spans="2:4" x14ac:dyDescent="0.35">
      <c r="B66" s="22"/>
      <c r="C66" s="22"/>
      <c r="D66" s="22"/>
    </row>
    <row r="67" spans="2:4" x14ac:dyDescent="0.35">
      <c r="B67" s="22"/>
      <c r="C67" s="22"/>
      <c r="D67" s="22"/>
    </row>
    <row r="68" spans="2:4" x14ac:dyDescent="0.35">
      <c r="B68" s="22"/>
      <c r="C68" s="22"/>
      <c r="D68" s="22"/>
    </row>
    <row r="69" spans="2:4" x14ac:dyDescent="0.35">
      <c r="B69" s="22"/>
      <c r="C69" s="22"/>
      <c r="D69" s="22"/>
    </row>
    <row r="70" spans="2:4" x14ac:dyDescent="0.35">
      <c r="B70" s="22"/>
      <c r="C70" s="22"/>
      <c r="D70" s="22"/>
    </row>
    <row r="71" spans="2:4" x14ac:dyDescent="0.35">
      <c r="B71" s="22"/>
      <c r="C71" s="22"/>
      <c r="D71" s="22"/>
    </row>
    <row r="72" spans="2:4" x14ac:dyDescent="0.35">
      <c r="B72" s="22"/>
      <c r="C72" s="22"/>
      <c r="D72" s="22"/>
    </row>
    <row r="73" spans="2:4" x14ac:dyDescent="0.35">
      <c r="B73" s="22"/>
      <c r="C73" s="22"/>
      <c r="D73" s="22"/>
    </row>
    <row r="74" spans="2:4" x14ac:dyDescent="0.35">
      <c r="B74" s="22"/>
      <c r="C74" s="22"/>
      <c r="D74" s="22"/>
    </row>
    <row r="75" spans="2:4" x14ac:dyDescent="0.35">
      <c r="B75" s="22"/>
      <c r="C75" s="22"/>
      <c r="D75" s="22"/>
    </row>
    <row r="76" spans="2:4" x14ac:dyDescent="0.35">
      <c r="B76" s="22"/>
      <c r="C76" s="22"/>
      <c r="D76" s="22"/>
    </row>
    <row r="77" spans="2:4" x14ac:dyDescent="0.35">
      <c r="B77" s="22"/>
      <c r="C77" s="22"/>
      <c r="D77" s="22"/>
    </row>
    <row r="78" spans="2:4" x14ac:dyDescent="0.35">
      <c r="B78" s="22"/>
      <c r="C78" s="22"/>
      <c r="D78" s="22"/>
    </row>
    <row r="79" spans="2:4" x14ac:dyDescent="0.35">
      <c r="B79" s="22"/>
      <c r="C79" s="22"/>
      <c r="D79" s="22"/>
    </row>
    <row r="80" spans="2:4" x14ac:dyDescent="0.35">
      <c r="B80" s="22"/>
      <c r="C80" s="22"/>
      <c r="D80" s="22"/>
    </row>
    <row r="81" spans="2:4" x14ac:dyDescent="0.35">
      <c r="B81" s="22"/>
      <c r="C81" s="22"/>
      <c r="D81" s="22"/>
    </row>
    <row r="82" spans="2:4" x14ac:dyDescent="0.35">
      <c r="B82" s="22"/>
      <c r="C82" s="22"/>
      <c r="D82" s="22"/>
    </row>
    <row r="83" spans="2:4" x14ac:dyDescent="0.35">
      <c r="B83" s="22"/>
      <c r="C83" s="22"/>
      <c r="D83" s="22"/>
    </row>
    <row r="84" spans="2:4" x14ac:dyDescent="0.35">
      <c r="B84" s="22"/>
      <c r="C84" s="22"/>
      <c r="D84" s="22"/>
    </row>
    <row r="85" spans="2:4" x14ac:dyDescent="0.35">
      <c r="B85" s="22"/>
      <c r="C85" s="22"/>
      <c r="D85" s="22"/>
    </row>
    <row r="86" spans="2:4" x14ac:dyDescent="0.35">
      <c r="B86" s="22"/>
      <c r="C86" s="22"/>
      <c r="D86" s="22"/>
    </row>
    <row r="87" spans="2:4" x14ac:dyDescent="0.35">
      <c r="B87" s="22"/>
      <c r="C87" s="22"/>
      <c r="D87" s="22"/>
    </row>
    <row r="88" spans="2:4" x14ac:dyDescent="0.35">
      <c r="B88" s="22"/>
      <c r="C88" s="22"/>
      <c r="D88" s="22"/>
    </row>
    <row r="89" spans="2:4" x14ac:dyDescent="0.35">
      <c r="B89" s="22"/>
      <c r="C89" s="22"/>
      <c r="D89" s="22"/>
    </row>
    <row r="90" spans="2:4" x14ac:dyDescent="0.35">
      <c r="B90" s="22"/>
      <c r="C90" s="22"/>
      <c r="D90" s="22"/>
    </row>
    <row r="91" spans="2:4" x14ac:dyDescent="0.35">
      <c r="B91" s="22"/>
      <c r="C91" s="22"/>
      <c r="D91" s="22"/>
    </row>
    <row r="92" spans="2:4" x14ac:dyDescent="0.35">
      <c r="B92" s="22"/>
      <c r="C92" s="22"/>
      <c r="D92" s="22"/>
    </row>
    <row r="93" spans="2:4" x14ac:dyDescent="0.35">
      <c r="B93" s="22"/>
      <c r="C93" s="22"/>
      <c r="D93" s="22"/>
    </row>
    <row r="94" spans="2:4" x14ac:dyDescent="0.35">
      <c r="B94" s="22"/>
      <c r="C94" s="22"/>
      <c r="D94" s="22"/>
    </row>
    <row r="95" spans="2:4" x14ac:dyDescent="0.35">
      <c r="B95" s="22"/>
      <c r="C95" s="22"/>
    </row>
  </sheetData>
  <mergeCells count="3">
    <mergeCell ref="A2:S2"/>
    <mergeCell ref="A1:S1"/>
    <mergeCell ref="A3:S3"/>
  </mergeCells>
  <pageMargins left="0.9055118110236221" right="0.70866141732283472" top="0.74803149606299213" bottom="0.74803149606299213" header="0.31496062992125984" footer="0.31496062992125984"/>
  <pageSetup paperSize="9"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topLeftCell="B1" zoomScaleNormal="100" workbookViewId="0">
      <selection activeCell="A2" sqref="A2:Q2"/>
    </sheetView>
  </sheetViews>
  <sheetFormatPr defaultColWidth="9.109375" defaultRowHeight="18" x14ac:dyDescent="0.35"/>
  <cols>
    <col min="1" max="1" width="11.6640625" style="41" hidden="1" customWidth="1"/>
    <col min="2" max="2" width="48.44140625" style="1" customWidth="1"/>
    <col min="3" max="3" width="19.44140625" style="2" customWidth="1"/>
    <col min="4" max="4" width="0.33203125" style="1" hidden="1" customWidth="1"/>
    <col min="5" max="5" width="0.6640625" style="1" hidden="1" customWidth="1"/>
    <col min="6" max="7" width="0.109375" style="1" hidden="1" customWidth="1"/>
    <col min="8" max="8" width="10.109375" style="1" hidden="1" customWidth="1"/>
    <col min="9" max="9" width="9.33203125" style="1" hidden="1" customWidth="1"/>
    <col min="10" max="10" width="0.44140625" style="1" hidden="1" customWidth="1"/>
    <col min="11" max="12" width="9.5546875" style="1" hidden="1" customWidth="1"/>
    <col min="13" max="13" width="10.33203125" style="1" hidden="1" customWidth="1"/>
    <col min="14" max="14" width="10" style="1" hidden="1" customWidth="1"/>
    <col min="15" max="15" width="1.33203125" style="1" hidden="1" customWidth="1"/>
    <col min="16" max="16" width="16.88671875" style="1" customWidth="1"/>
    <col min="17" max="17" width="14.109375" style="35" customWidth="1"/>
    <col min="18" max="19" width="11" style="1" bestFit="1" customWidth="1"/>
    <col min="20" max="20" width="17" style="1" customWidth="1"/>
    <col min="21" max="16384" width="9.109375" style="1"/>
  </cols>
  <sheetData>
    <row r="1" spans="1:18" ht="20.399999999999999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8" ht="61.5" customHeight="1" x14ac:dyDescent="0.35">
      <c r="A2" s="113" t="s">
        <v>83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8" ht="18.75" x14ac:dyDescent="0.3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x14ac:dyDescent="0.35">
      <c r="C4" s="23"/>
      <c r="P4" s="23"/>
      <c r="Q4" s="35" t="s">
        <v>66</v>
      </c>
    </row>
    <row r="5" spans="1:18" ht="78.75" customHeight="1" x14ac:dyDescent="0.35">
      <c r="A5" s="42"/>
      <c r="B5" s="65" t="s">
        <v>54</v>
      </c>
      <c r="C5" s="65" t="s">
        <v>79</v>
      </c>
      <c r="D5" s="66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6" t="s">
        <v>9</v>
      </c>
      <c r="L5" s="66" t="s">
        <v>10</v>
      </c>
      <c r="M5" s="66" t="s">
        <v>11</v>
      </c>
      <c r="N5" s="66" t="s">
        <v>12</v>
      </c>
      <c r="O5" s="66" t="s">
        <v>13</v>
      </c>
      <c r="P5" s="65" t="s">
        <v>85</v>
      </c>
      <c r="Q5" s="65" t="s">
        <v>53</v>
      </c>
    </row>
    <row r="6" spans="1:18" ht="42" customHeight="1" x14ac:dyDescent="0.35">
      <c r="A6" s="42"/>
      <c r="B6" s="37" t="s">
        <v>58</v>
      </c>
      <c r="C6" s="39">
        <f>'Школа екстернів'!Q13</f>
        <v>2889.6</v>
      </c>
      <c r="D6" s="39">
        <f>'Школа екстернів'!R13</f>
        <v>1939.7290000000003</v>
      </c>
      <c r="E6" s="39">
        <f>'Школа екстернів'!S13</f>
        <v>0</v>
      </c>
      <c r="F6" s="39">
        <f>'Школа екстернів'!T13</f>
        <v>0</v>
      </c>
      <c r="G6" s="39">
        <f>'Школа екстернів'!U13</f>
        <v>0</v>
      </c>
      <c r="H6" s="39">
        <f>'Школа екстернів'!V13</f>
        <v>0</v>
      </c>
      <c r="I6" s="39">
        <f>'Школа екстернів'!W13</f>
        <v>0</v>
      </c>
      <c r="J6" s="39">
        <f>'Школа екстернів'!X13</f>
        <v>0</v>
      </c>
      <c r="K6" s="39">
        <f>'Школа екстернів'!Y13</f>
        <v>0</v>
      </c>
      <c r="L6" s="39">
        <f>'Школа екстернів'!Z13</f>
        <v>0</v>
      </c>
      <c r="M6" s="39">
        <f>'Школа екстернів'!AA13</f>
        <v>0</v>
      </c>
      <c r="N6" s="39">
        <f>'Школа екстернів'!AB13</f>
        <v>0</v>
      </c>
      <c r="O6" s="39">
        <f>'Школа екстернів'!AC13</f>
        <v>0</v>
      </c>
      <c r="P6" s="39">
        <f>'Школа екстернів'!R13</f>
        <v>1939.7290000000003</v>
      </c>
      <c r="Q6" s="39">
        <f>(P6/C6)*100</f>
        <v>67.127941583610195</v>
      </c>
    </row>
    <row r="7" spans="1:18" ht="58.5" customHeight="1" x14ac:dyDescent="0.35">
      <c r="A7" s="42"/>
      <c r="B7" s="37" t="s">
        <v>59</v>
      </c>
      <c r="C7" s="39">
        <f>'Спорт. ліцей'!Q16</f>
        <v>37678.799999999996</v>
      </c>
      <c r="D7" s="39">
        <f>'Спорт. ліцей'!R16</f>
        <v>21689.796999999999</v>
      </c>
      <c r="E7" s="39">
        <f>'Спорт. ліцей'!S16</f>
        <v>0</v>
      </c>
      <c r="F7" s="39">
        <f>'Спорт. ліцей'!T16</f>
        <v>0</v>
      </c>
      <c r="G7" s="39">
        <f>'Спорт. ліцей'!U16</f>
        <v>0</v>
      </c>
      <c r="H7" s="39">
        <f>'Спорт. ліцей'!V16</f>
        <v>0</v>
      </c>
      <c r="I7" s="39">
        <f>'Спорт. ліцей'!W16</f>
        <v>0</v>
      </c>
      <c r="J7" s="39">
        <f>'Спорт. ліцей'!X16</f>
        <v>0</v>
      </c>
      <c r="K7" s="39">
        <f>'Спорт. ліцей'!Y16</f>
        <v>0</v>
      </c>
      <c r="L7" s="39">
        <f>'Спорт. ліцей'!Z16</f>
        <v>0</v>
      </c>
      <c r="M7" s="39">
        <f>'Спорт. ліцей'!AA16</f>
        <v>0</v>
      </c>
      <c r="N7" s="39">
        <f>'Спорт. ліцей'!AB16</f>
        <v>0</v>
      </c>
      <c r="O7" s="39">
        <f>'Спорт. ліцей'!AC16</f>
        <v>0</v>
      </c>
      <c r="P7" s="39">
        <f>'Спорт. ліцей'!R16</f>
        <v>21689.796999999999</v>
      </c>
      <c r="Q7" s="39">
        <f t="shared" ref="Q7:Q22" si="0">(P7/C7)*100</f>
        <v>57.564988800067951</v>
      </c>
    </row>
    <row r="8" spans="1:18" ht="35.25" customHeight="1" x14ac:dyDescent="0.35">
      <c r="A8" s="42"/>
      <c r="B8" s="37" t="s">
        <v>67</v>
      </c>
      <c r="C8" s="39">
        <f>Палац!P15</f>
        <v>34748.600000000006</v>
      </c>
      <c r="D8" s="39">
        <f>Палац!Q15</f>
        <v>20763.993999999999</v>
      </c>
      <c r="E8" s="39">
        <f>Палац!R15</f>
        <v>0</v>
      </c>
      <c r="F8" s="39">
        <f>Палац!S15</f>
        <v>0</v>
      </c>
      <c r="G8" s="39">
        <f>Палац!T15</f>
        <v>0</v>
      </c>
      <c r="H8" s="39">
        <f>Палац!U15</f>
        <v>0</v>
      </c>
      <c r="I8" s="39">
        <f>Палац!V15</f>
        <v>0</v>
      </c>
      <c r="J8" s="39">
        <f>Палац!W15</f>
        <v>0</v>
      </c>
      <c r="K8" s="39">
        <f>Палац!X15</f>
        <v>0</v>
      </c>
      <c r="L8" s="39">
        <f>Палац!Y15</f>
        <v>0</v>
      </c>
      <c r="M8" s="39">
        <f>Палац!Z15</f>
        <v>0</v>
      </c>
      <c r="N8" s="39">
        <f>Палац!AA15</f>
        <v>0</v>
      </c>
      <c r="O8" s="39">
        <f>Палац!AB15</f>
        <v>0</v>
      </c>
      <c r="P8" s="39">
        <f>Палац!Q15</f>
        <v>20763.993999999999</v>
      </c>
      <c r="Q8" s="39">
        <f t="shared" si="0"/>
        <v>59.754908111405911</v>
      </c>
    </row>
    <row r="9" spans="1:18" ht="46.5" customHeight="1" x14ac:dyDescent="0.35">
      <c r="A9" s="42"/>
      <c r="B9" s="37" t="s">
        <v>23</v>
      </c>
      <c r="C9" s="39">
        <f>'Тур станція'!Q15</f>
        <v>5257.2</v>
      </c>
      <c r="D9" s="39" t="e">
        <f>SUM(#REF!+#REF!+#REF!+#REF!+#REF!+#REF!+#REF!+#REF!+#REF!+#REF!+#REF!)+#REF!+#REF!</f>
        <v>#REF!</v>
      </c>
      <c r="E9" s="39" t="e">
        <f>SUM(#REF!+#REF!+#REF!+#REF!+#REF!+#REF!+#REF!+#REF!+#REF!+#REF!+#REF!)+#REF!+#REF!</f>
        <v>#REF!</v>
      </c>
      <c r="F9" s="39" t="e">
        <f>SUM(#REF!+#REF!+#REF!+#REF!+#REF!+#REF!+#REF!+#REF!+#REF!+#REF!+#REF!)+#REF!+#REF!</f>
        <v>#REF!</v>
      </c>
      <c r="G9" s="39" t="e">
        <f>SUM(#REF!+#REF!+#REF!+#REF!+#REF!+#REF!+#REF!+#REF!+#REF!+#REF!+#REF!)+#REF!+#REF!</f>
        <v>#REF!</v>
      </c>
      <c r="H9" s="39" t="e">
        <f>SUM(#REF!+#REF!+#REF!+#REF!+#REF!+#REF!+#REF!+#REF!+#REF!+#REF!+#REF!)+#REF!+#REF!</f>
        <v>#REF!</v>
      </c>
      <c r="I9" s="39" t="e">
        <f>SUM(#REF!+#REF!+#REF!+#REF!+#REF!+#REF!+#REF!+#REF!+#REF!+#REF!+#REF!)+#REF!+#REF!</f>
        <v>#REF!</v>
      </c>
      <c r="J9" s="39" t="e">
        <f>SUM(#REF!+#REF!+#REF!+#REF!+#REF!+#REF!+#REF!+#REF!+#REF!+#REF!+#REF!)+#REF!+#REF!</f>
        <v>#REF!</v>
      </c>
      <c r="K9" s="39" t="e">
        <f>SUM(#REF!+#REF!+#REF!+#REF!+#REF!+#REF!+#REF!+#REF!+#REF!+#REF!+#REF!)+#REF!+#REF!</f>
        <v>#REF!</v>
      </c>
      <c r="L9" s="39" t="e">
        <f>SUM(#REF!+#REF!+#REF!+#REF!+#REF!+#REF!+#REF!+#REF!+#REF!+#REF!+#REF!)+#REF!+#REF!</f>
        <v>#REF!</v>
      </c>
      <c r="M9" s="39" t="e">
        <f>SUM(#REF!+#REF!+#REF!+#REF!+#REF!+#REF!+#REF!+#REF!+#REF!+#REF!+#REF!)+#REF!+#REF!</f>
        <v>#REF!</v>
      </c>
      <c r="N9" s="39" t="e">
        <f>SUM(#REF!+#REF!+#REF!+#REF!+#REF!+#REF!+#REF!+#REF!+#REF!+#REF!+#REF!)+#REF!+#REF!</f>
        <v>#REF!</v>
      </c>
      <c r="O9" s="39" t="e">
        <f>SUM(#REF!+#REF!+#REF!+#REF!+#REF!+#REF!+#REF!+#REF!+#REF!+#REF!+#REF!)+#REF!+#REF!</f>
        <v>#REF!</v>
      </c>
      <c r="P9" s="67">
        <f>'Тур станція'!R15</f>
        <v>3408.94</v>
      </c>
      <c r="Q9" s="39">
        <f t="shared" si="0"/>
        <v>64.843262573232906</v>
      </c>
    </row>
    <row r="10" spans="1:18" ht="72.75" customHeight="1" x14ac:dyDescent="0.35">
      <c r="A10" s="42"/>
      <c r="B10" s="37" t="s">
        <v>60</v>
      </c>
      <c r="C10" s="39">
        <f>МАН!Q17</f>
        <v>7182.1</v>
      </c>
      <c r="D10" s="39" t="e">
        <f>SUM(#REF!)+#REF!+#REF!</f>
        <v>#REF!</v>
      </c>
      <c r="E10" s="39" t="e">
        <f>SUM(#REF!)+#REF!+#REF!</f>
        <v>#REF!</v>
      </c>
      <c r="F10" s="39" t="e">
        <f>SUM(#REF!)+#REF!+#REF!</f>
        <v>#REF!</v>
      </c>
      <c r="G10" s="39" t="e">
        <f>SUM(#REF!)+#REF!+#REF!</f>
        <v>#REF!</v>
      </c>
      <c r="H10" s="39" t="e">
        <f>SUM(#REF!)+#REF!+#REF!</f>
        <v>#REF!</v>
      </c>
      <c r="I10" s="39" t="e">
        <f>SUM(#REF!)+#REF!+#REF!</f>
        <v>#REF!</v>
      </c>
      <c r="J10" s="39" t="e">
        <f>SUM(#REF!)+#REF!+#REF!</f>
        <v>#REF!</v>
      </c>
      <c r="K10" s="39" t="e">
        <f>SUM(#REF!)+#REF!+#REF!</f>
        <v>#REF!</v>
      </c>
      <c r="L10" s="39" t="e">
        <f>SUM(#REF!)+#REF!+#REF!</f>
        <v>#REF!</v>
      </c>
      <c r="M10" s="39" t="e">
        <f>SUM(#REF!)+#REF!+#REF!</f>
        <v>#REF!</v>
      </c>
      <c r="N10" s="39" t="e">
        <f>SUM(#REF!)+#REF!+#REF!</f>
        <v>#REF!</v>
      </c>
      <c r="O10" s="39" t="e">
        <f>SUM(#REF!)+#REF!+#REF!</f>
        <v>#REF!</v>
      </c>
      <c r="P10" s="67">
        <f>МАН!R17</f>
        <v>5153.3519999999999</v>
      </c>
      <c r="Q10" s="39">
        <f t="shared" si="0"/>
        <v>71.752718564208237</v>
      </c>
    </row>
    <row r="11" spans="1:18" ht="54.75" customHeight="1" x14ac:dyDescent="0.35">
      <c r="A11" s="42"/>
      <c r="B11" s="37" t="s">
        <v>76</v>
      </c>
      <c r="C11" s="39">
        <f>БХТТ!P15</f>
        <v>2084.4</v>
      </c>
      <c r="D11" s="39">
        <f>БХТТ!Q15</f>
        <v>1434.1949999999999</v>
      </c>
      <c r="E11" s="39">
        <f>БХТТ!R15</f>
        <v>0</v>
      </c>
      <c r="F11" s="39">
        <f>БХТТ!S15</f>
        <v>0</v>
      </c>
      <c r="G11" s="39">
        <f>БХТТ!T15</f>
        <v>0</v>
      </c>
      <c r="H11" s="39">
        <f>БХТТ!U15</f>
        <v>0</v>
      </c>
      <c r="I11" s="39">
        <f>БХТТ!V15</f>
        <v>0</v>
      </c>
      <c r="J11" s="39">
        <f>БХТТ!W15</f>
        <v>0</v>
      </c>
      <c r="K11" s="39">
        <f>БХТТ!X15</f>
        <v>0</v>
      </c>
      <c r="L11" s="39">
        <f>БХТТ!Y15</f>
        <v>0</v>
      </c>
      <c r="M11" s="39">
        <f>БХТТ!Z15</f>
        <v>0</v>
      </c>
      <c r="N11" s="39">
        <f>БХТТ!AA15</f>
        <v>0</v>
      </c>
      <c r="O11" s="39">
        <f>БХТТ!AB15</f>
        <v>0</v>
      </c>
      <c r="P11" s="39">
        <f>БХТТ!Q15</f>
        <v>1434.1949999999999</v>
      </c>
      <c r="Q11" s="39">
        <f t="shared" si="0"/>
        <v>68.806131260794473</v>
      </c>
    </row>
    <row r="12" spans="1:18" ht="44.25" customHeight="1" x14ac:dyDescent="0.35">
      <c r="A12" s="42"/>
      <c r="B12" s="37" t="s">
        <v>26</v>
      </c>
      <c r="C12" s="39">
        <f>ПТУ!Q17</f>
        <v>335546.5</v>
      </c>
      <c r="D12" s="39" t="e">
        <f>SUM(#REF!+#REF!+#REF!+#REF!)+#REF!</f>
        <v>#REF!</v>
      </c>
      <c r="E12" s="39" t="e">
        <f>SUM(#REF!+#REF!+#REF!+#REF!)+#REF!</f>
        <v>#REF!</v>
      </c>
      <c r="F12" s="39" t="e">
        <f>SUM(#REF!+#REF!+#REF!+#REF!)+#REF!</f>
        <v>#REF!</v>
      </c>
      <c r="G12" s="39" t="e">
        <f>SUM(#REF!+#REF!+#REF!+#REF!)+#REF!</f>
        <v>#REF!</v>
      </c>
      <c r="H12" s="39" t="e">
        <f>SUM(#REF!+#REF!+#REF!+#REF!)+#REF!</f>
        <v>#REF!</v>
      </c>
      <c r="I12" s="39" t="e">
        <f>SUM(#REF!+#REF!+#REF!+#REF!)+#REF!</f>
        <v>#REF!</v>
      </c>
      <c r="J12" s="39" t="e">
        <f>SUM(#REF!+#REF!+#REF!+#REF!)+#REF!</f>
        <v>#REF!</v>
      </c>
      <c r="K12" s="39" t="e">
        <f>SUM(#REF!+#REF!+#REF!+#REF!)+#REF!</f>
        <v>#REF!</v>
      </c>
      <c r="L12" s="39" t="e">
        <f>SUM(#REF!+#REF!+#REF!+#REF!)+#REF!</f>
        <v>#REF!</v>
      </c>
      <c r="M12" s="39" t="e">
        <f>SUM(#REF!+#REF!+#REF!+#REF!)+#REF!</f>
        <v>#REF!</v>
      </c>
      <c r="N12" s="39" t="e">
        <f>SUM(#REF!+#REF!+#REF!+#REF!)+#REF!</f>
        <v>#REF!</v>
      </c>
      <c r="O12" s="39" t="e">
        <f>SUM(#REF!+#REF!+#REF!+#REF!)+#REF!</f>
        <v>#REF!</v>
      </c>
      <c r="P12" s="67">
        <f>ПТУ!R17</f>
        <v>242003.66800000001</v>
      </c>
      <c r="Q12" s="39">
        <f t="shared" si="0"/>
        <v>72.122244755942916</v>
      </c>
    </row>
    <row r="13" spans="1:18" ht="1.5" hidden="1" customHeight="1" x14ac:dyDescent="0.3">
      <c r="A13" s="42"/>
      <c r="B13" s="37" t="s">
        <v>55</v>
      </c>
      <c r="C13" s="39">
        <v>18110.099999999999</v>
      </c>
      <c r="D13" s="39" t="e">
        <f>SUM(#REF!+#REF!+#REF!+#REF!+#REF!+#REF!+#REF!+#REF!+#REF!+#REF!+#REF!)</f>
        <v>#REF!</v>
      </c>
      <c r="E13" s="39" t="e">
        <f>SUM(#REF!+#REF!+#REF!+#REF!+#REF!+#REF!+#REF!+#REF!+#REF!+#REF!+#REF!)</f>
        <v>#REF!</v>
      </c>
      <c r="F13" s="39" t="e">
        <f>SUM(#REF!+#REF!+#REF!+#REF!+#REF!+#REF!+#REF!+#REF!+#REF!+#REF!+#REF!)</f>
        <v>#REF!</v>
      </c>
      <c r="G13" s="39" t="e">
        <f>SUM(#REF!+#REF!+#REF!+#REF!+#REF!+#REF!+#REF!+#REF!+#REF!+#REF!+#REF!)</f>
        <v>#REF!</v>
      </c>
      <c r="H13" s="39" t="e">
        <f>SUM(#REF!+#REF!+#REF!+#REF!+#REF!+#REF!+#REF!+#REF!+#REF!+#REF!+#REF!)</f>
        <v>#REF!</v>
      </c>
      <c r="I13" s="39" t="e">
        <f>SUM(#REF!+#REF!+#REF!+#REF!+#REF!+#REF!+#REF!+#REF!+#REF!+#REF!+#REF!)</f>
        <v>#REF!</v>
      </c>
      <c r="J13" s="39" t="e">
        <f>SUM(#REF!+#REF!+#REF!+#REF!+#REF!+#REF!+#REF!+#REF!+#REF!+#REF!+#REF!)</f>
        <v>#REF!</v>
      </c>
      <c r="K13" s="39" t="e">
        <f>SUM(#REF!+#REF!+#REF!+#REF!+#REF!+#REF!+#REF!+#REF!+#REF!+#REF!+#REF!)</f>
        <v>#REF!</v>
      </c>
      <c r="L13" s="39" t="e">
        <f>SUM(#REF!+#REF!+#REF!+#REF!+#REF!+#REF!+#REF!+#REF!+#REF!+#REF!+#REF!)</f>
        <v>#REF!</v>
      </c>
      <c r="M13" s="39" t="e">
        <f>SUM(#REF!+#REF!+#REF!+#REF!+#REF!+#REF!+#REF!+#REF!+#REF!+#REF!+#REF!)</f>
        <v>#REF!</v>
      </c>
      <c r="N13" s="39" t="e">
        <f>SUM(#REF!+#REF!+#REF!+#REF!+#REF!+#REF!+#REF!+#REF!+#REF!+#REF!+#REF!)</f>
        <v>#REF!</v>
      </c>
      <c r="O13" s="39" t="e">
        <f>SUM(#REF!+#REF!+#REF!+#REF!+#REF!+#REF!+#REF!+#REF!+#REF!+#REF!+#REF!)</f>
        <v>#REF!</v>
      </c>
      <c r="P13" s="68">
        <v>4171.2</v>
      </c>
      <c r="Q13" s="39">
        <f t="shared" si="0"/>
        <v>23.032451504961323</v>
      </c>
    </row>
    <row r="14" spans="1:18" ht="46.5" hidden="1" customHeight="1" x14ac:dyDescent="0.3">
      <c r="A14" s="42"/>
      <c r="B14" s="37" t="s">
        <v>56</v>
      </c>
      <c r="C14" s="39">
        <v>97646.9</v>
      </c>
      <c r="D14" s="39" t="e">
        <f>SUM(#REF!+#REF!+#REF!+#REF!+#REF!+#REF!+#REF!)</f>
        <v>#REF!</v>
      </c>
      <c r="E14" s="39" t="e">
        <f>SUM(#REF!+#REF!+#REF!+#REF!+#REF!+#REF!+#REF!)</f>
        <v>#REF!</v>
      </c>
      <c r="F14" s="39" t="e">
        <f>SUM(#REF!+#REF!+#REF!+#REF!+#REF!+#REF!+#REF!)</f>
        <v>#REF!</v>
      </c>
      <c r="G14" s="39" t="e">
        <f>SUM(#REF!+#REF!+#REF!+#REF!+#REF!+#REF!+#REF!)</f>
        <v>#REF!</v>
      </c>
      <c r="H14" s="39" t="e">
        <f>SUM(#REF!+#REF!+#REF!+#REF!+#REF!+#REF!+#REF!)</f>
        <v>#REF!</v>
      </c>
      <c r="I14" s="39" t="e">
        <f>SUM(#REF!+#REF!+#REF!+#REF!+#REF!+#REF!+#REF!)</f>
        <v>#REF!</v>
      </c>
      <c r="J14" s="39" t="e">
        <f>SUM(#REF!+#REF!+#REF!+#REF!+#REF!+#REF!+#REF!)</f>
        <v>#REF!</v>
      </c>
      <c r="K14" s="39" t="e">
        <f>SUM(#REF!+#REF!+#REF!+#REF!+#REF!+#REF!+#REF!)</f>
        <v>#REF!</v>
      </c>
      <c r="L14" s="39" t="e">
        <f>SUM(#REF!+#REF!+#REF!+#REF!+#REF!+#REF!+#REF!)</f>
        <v>#REF!</v>
      </c>
      <c r="M14" s="39" t="e">
        <f>SUM(#REF!+#REF!+#REF!+#REF!+#REF!+#REF!+#REF!)</f>
        <v>#REF!</v>
      </c>
      <c r="N14" s="39" t="e">
        <f>SUM(#REF!+#REF!+#REF!+#REF!+#REF!+#REF!+#REF!)</f>
        <v>#REF!</v>
      </c>
      <c r="O14" s="39" t="e">
        <f>SUM(#REF!+#REF!+#REF!+#REF!+#REF!+#REF!+#REF!)</f>
        <v>#REF!</v>
      </c>
      <c r="P14" s="67">
        <v>21212.3</v>
      </c>
      <c r="Q14" s="39">
        <f t="shared" si="0"/>
        <v>21.723475092399248</v>
      </c>
    </row>
    <row r="15" spans="1:18" ht="37.5" hidden="1" x14ac:dyDescent="0.3">
      <c r="A15" s="42"/>
      <c r="B15" s="37" t="s">
        <v>57</v>
      </c>
      <c r="C15" s="39">
        <v>10735.4</v>
      </c>
      <c r="D15" s="39" t="e">
        <f>SUM(#REF!+#REF!+#REF!+#REF!+#REF!+#REF!+#REF!+#REF!+#REF!)</f>
        <v>#REF!</v>
      </c>
      <c r="E15" s="39" t="e">
        <f>SUM(#REF!+#REF!+#REF!+#REF!+#REF!+#REF!+#REF!+#REF!+#REF!)</f>
        <v>#REF!</v>
      </c>
      <c r="F15" s="39" t="e">
        <f>SUM(#REF!+#REF!+#REF!+#REF!+#REF!+#REF!+#REF!+#REF!+#REF!)</f>
        <v>#REF!</v>
      </c>
      <c r="G15" s="39" t="e">
        <f>SUM(#REF!+#REF!+#REF!+#REF!+#REF!+#REF!+#REF!+#REF!+#REF!)</f>
        <v>#REF!</v>
      </c>
      <c r="H15" s="39" t="e">
        <f>SUM(#REF!+#REF!+#REF!+#REF!+#REF!+#REF!+#REF!+#REF!+#REF!)</f>
        <v>#REF!</v>
      </c>
      <c r="I15" s="39" t="e">
        <f>SUM(#REF!+#REF!+#REF!+#REF!+#REF!+#REF!+#REF!+#REF!+#REF!)</f>
        <v>#REF!</v>
      </c>
      <c r="J15" s="39" t="e">
        <f>SUM(#REF!+#REF!+#REF!+#REF!+#REF!+#REF!+#REF!+#REF!+#REF!)</f>
        <v>#REF!</v>
      </c>
      <c r="K15" s="39" t="e">
        <f>SUM(#REF!+#REF!+#REF!+#REF!+#REF!+#REF!+#REF!+#REF!+#REF!)</f>
        <v>#REF!</v>
      </c>
      <c r="L15" s="39" t="e">
        <f>SUM(#REF!+#REF!+#REF!+#REF!+#REF!+#REF!+#REF!+#REF!+#REF!)</f>
        <v>#REF!</v>
      </c>
      <c r="M15" s="39" t="e">
        <f>SUM(#REF!+#REF!+#REF!+#REF!+#REF!+#REF!+#REF!+#REF!+#REF!)</f>
        <v>#REF!</v>
      </c>
      <c r="N15" s="39" t="e">
        <f>SUM(#REF!+#REF!+#REF!+#REF!+#REF!+#REF!+#REF!+#REF!+#REF!)</f>
        <v>#REF!</v>
      </c>
      <c r="O15" s="39" t="e">
        <f>SUM(#REF!+#REF!+#REF!+#REF!+#REF!+#REF!+#REF!+#REF!+#REF!)</f>
        <v>#REF!</v>
      </c>
      <c r="P15" s="67">
        <v>2122.8000000000002</v>
      </c>
      <c r="Q15" s="39">
        <f t="shared" si="0"/>
        <v>19.773832367680761</v>
      </c>
    </row>
    <row r="16" spans="1:18" ht="41.25" customHeight="1" x14ac:dyDescent="0.35">
      <c r="A16" s="42"/>
      <c r="B16" s="37" t="s">
        <v>61</v>
      </c>
      <c r="C16" s="39">
        <f>'Грінченка 601'!Q18+'Грінченка 602'!Q18+'Грінченка 701'!Q16</f>
        <v>162935.6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67">
        <f>'Грінченка 601'!R18+'Грінченка 602'!R18+'Грінченка 701'!R16</f>
        <v>112476.91430000002</v>
      </c>
      <c r="Q16" s="39">
        <f t="shared" si="0"/>
        <v>69.031515703136705</v>
      </c>
      <c r="R16" s="5"/>
    </row>
    <row r="17" spans="1:19" ht="121.5" customHeight="1" x14ac:dyDescent="0.35">
      <c r="A17" s="42"/>
      <c r="B17" s="37" t="s">
        <v>62</v>
      </c>
      <c r="C17" s="39">
        <f>'Центр ПК'!Q16</f>
        <v>2456</v>
      </c>
      <c r="D17" s="39" t="e">
        <f>SUM(#REF!+#REF!+#REF!+#REF!+#REF!+#REF!+#REF!+#REF!+#REF!)</f>
        <v>#REF!</v>
      </c>
      <c r="E17" s="39" t="e">
        <f>SUM(#REF!+#REF!+#REF!+#REF!+#REF!+#REF!+#REF!+#REF!+#REF!)</f>
        <v>#REF!</v>
      </c>
      <c r="F17" s="39" t="e">
        <f>SUM(#REF!+#REF!+#REF!+#REF!+#REF!+#REF!+#REF!+#REF!+#REF!)</f>
        <v>#REF!</v>
      </c>
      <c r="G17" s="39" t="e">
        <f>SUM(#REF!+#REF!+#REF!+#REF!+#REF!+#REF!+#REF!+#REF!+#REF!)</f>
        <v>#REF!</v>
      </c>
      <c r="H17" s="39" t="e">
        <f>SUM(#REF!+#REF!+#REF!+#REF!+#REF!+#REF!+#REF!+#REF!+#REF!)</f>
        <v>#REF!</v>
      </c>
      <c r="I17" s="39" t="e">
        <f>SUM(#REF!+#REF!+#REF!+#REF!+#REF!+#REF!+#REF!+#REF!+#REF!)</f>
        <v>#REF!</v>
      </c>
      <c r="J17" s="39" t="e">
        <f>SUM(#REF!+#REF!+#REF!+#REF!+#REF!+#REF!+#REF!+#REF!+#REF!)</f>
        <v>#REF!</v>
      </c>
      <c r="K17" s="39" t="e">
        <f>SUM(#REF!+#REF!+#REF!+#REF!+#REF!+#REF!+#REF!+#REF!+#REF!)</f>
        <v>#REF!</v>
      </c>
      <c r="L17" s="39" t="e">
        <f>SUM(#REF!+#REF!+#REF!+#REF!+#REF!+#REF!+#REF!+#REF!+#REF!)</f>
        <v>#REF!</v>
      </c>
      <c r="M17" s="39" t="e">
        <f>SUM(#REF!+#REF!+#REF!+#REF!+#REF!+#REF!+#REF!+#REF!+#REF!)</f>
        <v>#REF!</v>
      </c>
      <c r="N17" s="39" t="e">
        <f>SUM(#REF!+#REF!+#REF!+#REF!+#REF!+#REF!+#REF!+#REF!+#REF!)</f>
        <v>#REF!</v>
      </c>
      <c r="O17" s="39" t="e">
        <f>SUM(#REF!+#REF!+#REF!+#REF!+#REF!+#REF!+#REF!+#REF!+#REF!)</f>
        <v>#REF!</v>
      </c>
      <c r="P17" s="67">
        <f>'Центр ПК'!R16</f>
        <v>1673.2060000000001</v>
      </c>
      <c r="Q17" s="39">
        <f t="shared" si="0"/>
        <v>68.127280130293173</v>
      </c>
    </row>
    <row r="18" spans="1:19" x14ac:dyDescent="0.35">
      <c r="A18" s="42"/>
      <c r="B18" s="37" t="s">
        <v>63</v>
      </c>
      <c r="C18" s="39">
        <f>'Будинок вчителя'!Q13</f>
        <v>4905.7</v>
      </c>
      <c r="D18" s="39" t="e">
        <f>SUM(#REF!+#REF!)</f>
        <v>#REF!</v>
      </c>
      <c r="E18" s="39" t="e">
        <f>SUM(#REF!+#REF!)</f>
        <v>#REF!</v>
      </c>
      <c r="F18" s="39" t="e">
        <f>SUM(#REF!+#REF!)</f>
        <v>#REF!</v>
      </c>
      <c r="G18" s="39" t="e">
        <f>SUM(#REF!+#REF!)</f>
        <v>#REF!</v>
      </c>
      <c r="H18" s="39" t="e">
        <f>SUM(#REF!+#REF!)</f>
        <v>#REF!</v>
      </c>
      <c r="I18" s="39" t="e">
        <f>SUM(#REF!+#REF!)</f>
        <v>#REF!</v>
      </c>
      <c r="J18" s="39" t="e">
        <f>SUM(#REF!+#REF!)</f>
        <v>#REF!</v>
      </c>
      <c r="K18" s="39" t="e">
        <f>SUM(#REF!+#REF!)</f>
        <v>#REF!</v>
      </c>
      <c r="L18" s="39" t="e">
        <f>SUM(#REF!+#REF!)</f>
        <v>#REF!</v>
      </c>
      <c r="M18" s="39" t="e">
        <f>SUM(#REF!+#REF!)</f>
        <v>#REF!</v>
      </c>
      <c r="N18" s="39" t="e">
        <f>SUM(#REF!+#REF!)</f>
        <v>#REF!</v>
      </c>
      <c r="O18" s="39" t="e">
        <f>SUM(#REF!+#REF!)</f>
        <v>#REF!</v>
      </c>
      <c r="P18" s="67">
        <f>'Будинок вчителя'!R13</f>
        <v>2865.6270000000004</v>
      </c>
      <c r="Q18" s="39">
        <f t="shared" si="0"/>
        <v>58.414232423507364</v>
      </c>
    </row>
    <row r="19" spans="1:19" ht="56.25" customHeight="1" x14ac:dyDescent="0.35">
      <c r="A19" s="37"/>
      <c r="B19" s="37" t="s">
        <v>68</v>
      </c>
      <c r="C19" s="39">
        <f>'Відділи ДОМНС 401 (2)'!Q10+'Відділи ДОМНС 802 '!Q18+'Відділи ДОМНС 803'!Q10+'Відділи ДОМНС 804'!Q10+'Відділи ДОМНС 807 (2)'!Q8</f>
        <v>10973.3</v>
      </c>
      <c r="D19" s="39">
        <f>'Відділи ДОМНС 401 (2)'!R10+'Відділи ДОМНС 802 '!R18+'Відділи ДОМНС 803'!R10+'Відділи ДОМНС 804'!R10+'Відділи ДОМНС 807 (2)'!R8</f>
        <v>5867.4900000000007</v>
      </c>
      <c r="E19" s="39">
        <f>'Відділи ДОМНС 401 (2)'!S10+'Відділи ДОМНС 802 '!S18+'Відділи ДОМНС 803'!S10+'Відділи ДОМНС 804'!S10+'Відділи ДОМНС 807 (2)'!S8</f>
        <v>0</v>
      </c>
      <c r="F19" s="39">
        <f>'Відділи ДОМНС 401 (2)'!T10+'Відділи ДОМНС 802 '!T18+'Відділи ДОМНС 803'!T10+'Відділи ДОМНС 804'!T10+'Відділи ДОМНС 807 (2)'!T8</f>
        <v>0</v>
      </c>
      <c r="G19" s="39">
        <f>'Відділи ДОМНС 401 (2)'!U10+'Відділи ДОМНС 802 '!U18+'Відділи ДОМНС 803'!U10+'Відділи ДОМНС 804'!U10+'Відділи ДОМНС 807 (2)'!U8</f>
        <v>0</v>
      </c>
      <c r="H19" s="39">
        <f>'Відділи ДОМНС 401 (2)'!V10+'Відділи ДОМНС 802 '!V18+'Відділи ДОМНС 803'!V10+'Відділи ДОМНС 804'!V10+'Відділи ДОМНС 807 (2)'!V8</f>
        <v>0</v>
      </c>
      <c r="I19" s="39">
        <f>'Відділи ДОМНС 401 (2)'!W10+'Відділи ДОМНС 802 '!W18+'Відділи ДОМНС 803'!W10+'Відділи ДОМНС 804'!W10+'Відділи ДОМНС 807 (2)'!W8</f>
        <v>0</v>
      </c>
      <c r="J19" s="39">
        <f>'Відділи ДОМНС 401 (2)'!X10+'Відділи ДОМНС 802 '!X18+'Відділи ДОМНС 803'!X10+'Відділи ДОМНС 804'!X10+'Відділи ДОМНС 807 (2)'!X8</f>
        <v>0</v>
      </c>
      <c r="K19" s="39">
        <f>'Відділи ДОМНС 401 (2)'!Y10+'Відділи ДОМНС 802 '!Y18+'Відділи ДОМНС 803'!Y10+'Відділи ДОМНС 804'!Y10+'Відділи ДОМНС 807 (2)'!Y8</f>
        <v>0</v>
      </c>
      <c r="L19" s="39">
        <f>'Відділи ДОМНС 401 (2)'!Z10+'Відділи ДОМНС 802 '!Z18+'Відділи ДОМНС 803'!Z10+'Відділи ДОМНС 804'!Z10+'Відділи ДОМНС 807 (2)'!Z8</f>
        <v>0</v>
      </c>
      <c r="M19" s="39">
        <f>'Відділи ДОМНС 401 (2)'!AA10+'Відділи ДОМНС 802 '!AA18+'Відділи ДОМНС 803'!AA10+'Відділи ДОМНС 804'!AA10+'Відділи ДОМНС 807 (2)'!AA8</f>
        <v>0</v>
      </c>
      <c r="N19" s="39">
        <f>'Відділи ДОМНС 401 (2)'!AB10+'Відділи ДОМНС 802 '!AB18+'Відділи ДОМНС 803'!AB10+'Відділи ДОМНС 804'!AB10+'Відділи ДОМНС 807 (2)'!AB8</f>
        <v>0</v>
      </c>
      <c r="O19" s="39">
        <f>'Відділи ДОМНС 401 (2)'!AC10+'Відділи ДОМНС 802 '!AC18+'Відділи ДОМНС 803'!AC10+'Відділи ДОМНС 804'!AC10+'Відділи ДОМНС 807 (2)'!AC8</f>
        <v>0</v>
      </c>
      <c r="P19" s="39">
        <f>'Відділи ДОМНС 401 (2)'!R10+'Відділи ДОМНС 802 '!R18+'Відділи ДОМНС 803'!R10+'Відділи ДОМНС 804'!R10+'Відділи ДОМНС 807 (2)'!R8</f>
        <v>5867.4900000000007</v>
      </c>
      <c r="Q19" s="39">
        <f t="shared" si="0"/>
        <v>53.470605925291402</v>
      </c>
    </row>
    <row r="20" spans="1:19" ht="34.799999999999997" x14ac:dyDescent="0.35">
      <c r="A20" s="42"/>
      <c r="B20" s="37" t="s">
        <v>64</v>
      </c>
      <c r="C20" s="39">
        <f>'Центр моніторингу'!Q13</f>
        <v>2888.7000000000003</v>
      </c>
      <c r="D20" s="39" t="e">
        <f>SUM(#REF!+#REF!+#REF!+#REF!+#REF!+#REF!+#REF!+#REF!+#REF!)</f>
        <v>#REF!</v>
      </c>
      <c r="E20" s="39" t="e">
        <f>SUM(#REF!+#REF!+#REF!+#REF!+#REF!+#REF!+#REF!+#REF!+#REF!)</f>
        <v>#REF!</v>
      </c>
      <c r="F20" s="39" t="e">
        <f>SUM(#REF!+#REF!+#REF!+#REF!+#REF!+#REF!+#REF!+#REF!+#REF!)</f>
        <v>#REF!</v>
      </c>
      <c r="G20" s="39" t="e">
        <f>SUM(#REF!+#REF!+#REF!+#REF!+#REF!+#REF!+#REF!+#REF!+#REF!)</f>
        <v>#REF!</v>
      </c>
      <c r="H20" s="39" t="e">
        <f>SUM(#REF!+#REF!+#REF!+#REF!+#REF!+#REF!+#REF!+#REF!+#REF!)</f>
        <v>#REF!</v>
      </c>
      <c r="I20" s="39" t="e">
        <f>SUM(#REF!+#REF!+#REF!+#REF!+#REF!+#REF!+#REF!+#REF!+#REF!)</f>
        <v>#REF!</v>
      </c>
      <c r="J20" s="39" t="e">
        <f>SUM(#REF!+#REF!+#REF!+#REF!+#REF!+#REF!+#REF!+#REF!+#REF!)</f>
        <v>#REF!</v>
      </c>
      <c r="K20" s="39" t="e">
        <f>SUM(#REF!+#REF!+#REF!+#REF!+#REF!+#REF!+#REF!+#REF!+#REF!)</f>
        <v>#REF!</v>
      </c>
      <c r="L20" s="39" t="e">
        <f>SUM(#REF!+#REF!+#REF!+#REF!+#REF!+#REF!+#REF!+#REF!+#REF!)</f>
        <v>#REF!</v>
      </c>
      <c r="M20" s="39" t="e">
        <f>SUM(#REF!+#REF!+#REF!+#REF!+#REF!+#REF!+#REF!+#REF!+#REF!)</f>
        <v>#REF!</v>
      </c>
      <c r="N20" s="39" t="e">
        <f>SUM(#REF!+#REF!+#REF!+#REF!+#REF!+#REF!+#REF!+#REF!+#REF!)</f>
        <v>#REF!</v>
      </c>
      <c r="O20" s="39" t="e">
        <f>SUM(#REF!+#REF!+#REF!+#REF!+#REF!+#REF!+#REF!+#REF!+#REF!)</f>
        <v>#REF!</v>
      </c>
      <c r="P20" s="67">
        <f>'Центр моніторингу'!R13</f>
        <v>2072.42</v>
      </c>
      <c r="Q20" s="39">
        <f t="shared" si="0"/>
        <v>71.742306227714877</v>
      </c>
    </row>
    <row r="21" spans="1:19" ht="34.799999999999997" x14ac:dyDescent="0.35">
      <c r="A21" s="114"/>
      <c r="B21" s="115" t="s">
        <v>84</v>
      </c>
      <c r="C21" s="116">
        <f>'Група впровадження (807)'!P6</f>
        <v>12034</v>
      </c>
      <c r="D21" s="116">
        <f>'Група впровадження (807)'!Q6</f>
        <v>4206.0959999999995</v>
      </c>
      <c r="E21" s="116">
        <f>'Група впровадження (807)'!R6</f>
        <v>0</v>
      </c>
      <c r="F21" s="116">
        <f>'Група впровадження (807)'!S6</f>
        <v>0</v>
      </c>
      <c r="G21" s="116">
        <f>'Група впровадження (807)'!T6</f>
        <v>0</v>
      </c>
      <c r="H21" s="116">
        <f>'Група впровадження (807)'!U6</f>
        <v>0</v>
      </c>
      <c r="I21" s="116">
        <f>'Група впровадження (807)'!V6</f>
        <v>0</v>
      </c>
      <c r="J21" s="116">
        <f>'Група впровадження (807)'!W6</f>
        <v>0</v>
      </c>
      <c r="K21" s="116">
        <f>'Група впровадження (807)'!X6</f>
        <v>0</v>
      </c>
      <c r="L21" s="116">
        <f>'Група впровадження (807)'!Y6</f>
        <v>0</v>
      </c>
      <c r="M21" s="116">
        <f>'Група впровадження (807)'!Z6</f>
        <v>0</v>
      </c>
      <c r="N21" s="116">
        <f>'Група впровадження (807)'!AA6</f>
        <v>0</v>
      </c>
      <c r="O21" s="116">
        <f>'Група впровадження (807)'!AB6</f>
        <v>0</v>
      </c>
      <c r="P21" s="116">
        <f>'Група впровадження (807)'!Q6</f>
        <v>4206.0959999999995</v>
      </c>
      <c r="Q21" s="39">
        <f t="shared" si="0"/>
        <v>34.951769985042375</v>
      </c>
    </row>
    <row r="22" spans="1:19" ht="18.600000000000001" thickBot="1" x14ac:dyDescent="0.4">
      <c r="A22" s="43"/>
      <c r="B22" s="38"/>
      <c r="C22" s="40">
        <f>C6+C7+C8+C9+C10+C11+C12+C16+C17+C18+C19+C20+C21</f>
        <v>621580.5</v>
      </c>
      <c r="D22" s="40" t="e">
        <f t="shared" ref="D22:P22" si="1">D6+D7+D8+D9+D10+D11+D12+D16+D17+D18+D19+D20+D21</f>
        <v>#REF!</v>
      </c>
      <c r="E22" s="40" t="e">
        <f t="shared" si="1"/>
        <v>#REF!</v>
      </c>
      <c r="F22" s="40" t="e">
        <f t="shared" si="1"/>
        <v>#REF!</v>
      </c>
      <c r="G22" s="40" t="e">
        <f t="shared" si="1"/>
        <v>#REF!</v>
      </c>
      <c r="H22" s="40" t="e">
        <f t="shared" si="1"/>
        <v>#REF!</v>
      </c>
      <c r="I22" s="40" t="e">
        <f t="shared" si="1"/>
        <v>#REF!</v>
      </c>
      <c r="J22" s="40" t="e">
        <f t="shared" si="1"/>
        <v>#REF!</v>
      </c>
      <c r="K22" s="40" t="e">
        <f t="shared" si="1"/>
        <v>#REF!</v>
      </c>
      <c r="L22" s="40" t="e">
        <f t="shared" si="1"/>
        <v>#REF!</v>
      </c>
      <c r="M22" s="40" t="e">
        <f t="shared" si="1"/>
        <v>#REF!</v>
      </c>
      <c r="N22" s="40" t="e">
        <f t="shared" si="1"/>
        <v>#REF!</v>
      </c>
      <c r="O22" s="40" t="e">
        <f t="shared" si="1"/>
        <v>#REF!</v>
      </c>
      <c r="P22" s="40">
        <f t="shared" si="1"/>
        <v>425555.42829999997</v>
      </c>
      <c r="Q22" s="39">
        <f t="shared" si="0"/>
        <v>68.463445732290509</v>
      </c>
      <c r="R22" s="5"/>
      <c r="S22" s="5"/>
    </row>
    <row r="23" spans="1:19" x14ac:dyDescent="0.35">
      <c r="A23" s="44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9" x14ac:dyDescent="0.35">
      <c r="B24" s="3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9" ht="48" customHeight="1" x14ac:dyDescent="0.3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9" x14ac:dyDescent="0.35">
      <c r="B26" s="35"/>
      <c r="C26" s="35"/>
    </row>
    <row r="27" spans="1:19" x14ac:dyDescent="0.35">
      <c r="B27" s="35"/>
      <c r="C27" s="35"/>
    </row>
    <row r="28" spans="1:19" x14ac:dyDescent="0.35">
      <c r="B28" s="35"/>
      <c r="C28" s="35"/>
    </row>
    <row r="29" spans="1:19" x14ac:dyDescent="0.35">
      <c r="B29" s="35"/>
      <c r="C29" s="35"/>
    </row>
    <row r="30" spans="1:19" x14ac:dyDescent="0.35">
      <c r="B30" s="35"/>
      <c r="C30" s="35"/>
    </row>
    <row r="31" spans="1:19" x14ac:dyDescent="0.35">
      <c r="B31" s="35"/>
      <c r="C31" s="35"/>
    </row>
    <row r="32" spans="1:19" x14ac:dyDescent="0.35">
      <c r="B32" s="35"/>
      <c r="C32" s="35"/>
    </row>
    <row r="33" spans="2:3" x14ac:dyDescent="0.35">
      <c r="B33" s="35"/>
      <c r="C33" s="35"/>
    </row>
    <row r="34" spans="2:3" x14ac:dyDescent="0.35">
      <c r="B34" s="35"/>
      <c r="C34" s="35"/>
    </row>
    <row r="35" spans="2:3" x14ac:dyDescent="0.35">
      <c r="B35" s="35"/>
      <c r="C35" s="35"/>
    </row>
    <row r="36" spans="2:3" x14ac:dyDescent="0.35">
      <c r="B36" s="35"/>
      <c r="C36" s="35"/>
    </row>
    <row r="37" spans="2:3" x14ac:dyDescent="0.35">
      <c r="B37" s="35"/>
      <c r="C37" s="35"/>
    </row>
    <row r="38" spans="2:3" x14ac:dyDescent="0.35">
      <c r="B38" s="35"/>
      <c r="C38" s="35"/>
    </row>
    <row r="39" spans="2:3" x14ac:dyDescent="0.35">
      <c r="B39" s="35"/>
      <c r="C39" s="35"/>
    </row>
    <row r="40" spans="2:3" x14ac:dyDescent="0.35">
      <c r="B40" s="35"/>
      <c r="C40" s="35"/>
    </row>
    <row r="41" spans="2:3" x14ac:dyDescent="0.35">
      <c r="B41" s="35"/>
      <c r="C41" s="35"/>
    </row>
    <row r="42" spans="2:3" x14ac:dyDescent="0.35">
      <c r="B42" s="35"/>
      <c r="C42" s="35"/>
    </row>
    <row r="43" spans="2:3" x14ac:dyDescent="0.35">
      <c r="B43" s="35"/>
      <c r="C43" s="35"/>
    </row>
    <row r="44" spans="2:3" x14ac:dyDescent="0.35">
      <c r="B44" s="35"/>
      <c r="C44" s="35"/>
    </row>
    <row r="45" spans="2:3" x14ac:dyDescent="0.35">
      <c r="B45" s="35"/>
      <c r="C45" s="35"/>
    </row>
    <row r="46" spans="2:3" x14ac:dyDescent="0.35">
      <c r="B46" s="35"/>
      <c r="C46" s="35"/>
    </row>
    <row r="47" spans="2:3" x14ac:dyDescent="0.35">
      <c r="B47" s="35"/>
      <c r="C47" s="35"/>
    </row>
    <row r="48" spans="2:3" x14ac:dyDescent="0.35">
      <c r="B48" s="35"/>
      <c r="C48" s="35"/>
    </row>
    <row r="49" spans="2:3" x14ac:dyDescent="0.35">
      <c r="B49" s="35"/>
      <c r="C49" s="35"/>
    </row>
    <row r="50" spans="2:3" x14ac:dyDescent="0.35">
      <c r="B50" s="35"/>
      <c r="C50" s="35"/>
    </row>
    <row r="51" spans="2:3" x14ac:dyDescent="0.35">
      <c r="B51" s="35"/>
      <c r="C51" s="35"/>
    </row>
    <row r="52" spans="2:3" x14ac:dyDescent="0.35">
      <c r="B52" s="35"/>
      <c r="C52" s="35"/>
    </row>
    <row r="53" spans="2:3" x14ac:dyDescent="0.35">
      <c r="B53" s="35"/>
      <c r="C53" s="35"/>
    </row>
    <row r="54" spans="2:3" x14ac:dyDescent="0.35">
      <c r="B54" s="35"/>
      <c r="C54" s="35"/>
    </row>
    <row r="55" spans="2:3" x14ac:dyDescent="0.35">
      <c r="B55" s="35"/>
      <c r="C55" s="35"/>
    </row>
    <row r="56" spans="2:3" x14ac:dyDescent="0.35">
      <c r="B56" s="35"/>
      <c r="C56" s="35"/>
    </row>
    <row r="57" spans="2:3" x14ac:dyDescent="0.35">
      <c r="B57" s="35"/>
      <c r="C57" s="35"/>
    </row>
    <row r="58" spans="2:3" x14ac:dyDescent="0.35">
      <c r="B58" s="35"/>
      <c r="C58" s="35"/>
    </row>
    <row r="59" spans="2:3" x14ac:dyDescent="0.35">
      <c r="B59" s="35"/>
      <c r="C59" s="35"/>
    </row>
    <row r="60" spans="2:3" x14ac:dyDescent="0.35">
      <c r="B60" s="35"/>
      <c r="C60" s="35"/>
    </row>
    <row r="61" spans="2:3" x14ac:dyDescent="0.35">
      <c r="B61" s="35"/>
      <c r="C61" s="35"/>
    </row>
    <row r="62" spans="2:3" x14ac:dyDescent="0.35">
      <c r="B62" s="35"/>
      <c r="C62" s="35"/>
    </row>
    <row r="63" spans="2:3" x14ac:dyDescent="0.35">
      <c r="B63" s="35"/>
      <c r="C63" s="35"/>
    </row>
    <row r="64" spans="2:3" x14ac:dyDescent="0.35">
      <c r="B64" s="35"/>
      <c r="C64" s="35"/>
    </row>
    <row r="65" spans="2:3" x14ac:dyDescent="0.35">
      <c r="B65" s="35"/>
      <c r="C65" s="35"/>
    </row>
    <row r="66" spans="2:3" x14ac:dyDescent="0.35">
      <c r="B66" s="35"/>
      <c r="C66" s="35"/>
    </row>
    <row r="67" spans="2:3" x14ac:dyDescent="0.35">
      <c r="B67" s="35"/>
      <c r="C67" s="35"/>
    </row>
    <row r="68" spans="2:3" x14ac:dyDescent="0.35">
      <c r="B68" s="35"/>
      <c r="C68" s="35"/>
    </row>
    <row r="69" spans="2:3" x14ac:dyDescent="0.35">
      <c r="B69" s="35"/>
      <c r="C69" s="35"/>
    </row>
    <row r="70" spans="2:3" x14ac:dyDescent="0.35">
      <c r="B70" s="35"/>
      <c r="C70" s="35"/>
    </row>
    <row r="71" spans="2:3" x14ac:dyDescent="0.35">
      <c r="B71" s="35"/>
      <c r="C71" s="35"/>
    </row>
    <row r="72" spans="2:3" x14ac:dyDescent="0.35">
      <c r="B72" s="35"/>
      <c r="C72" s="35"/>
    </row>
    <row r="73" spans="2:3" x14ac:dyDescent="0.35">
      <c r="B73" s="35"/>
      <c r="C73" s="35"/>
    </row>
    <row r="74" spans="2:3" x14ac:dyDescent="0.35">
      <c r="B74" s="35"/>
      <c r="C74" s="35"/>
    </row>
    <row r="75" spans="2:3" x14ac:dyDescent="0.35">
      <c r="B75" s="35"/>
      <c r="C75" s="35"/>
    </row>
    <row r="76" spans="2:3" x14ac:dyDescent="0.35">
      <c r="B76" s="35"/>
      <c r="C76" s="35"/>
    </row>
    <row r="77" spans="2:3" x14ac:dyDescent="0.35">
      <c r="B77" s="35"/>
      <c r="C77" s="35"/>
    </row>
    <row r="78" spans="2:3" x14ac:dyDescent="0.35">
      <c r="B78" s="35"/>
      <c r="C78" s="35"/>
    </row>
    <row r="79" spans="2:3" x14ac:dyDescent="0.35">
      <c r="B79" s="35"/>
      <c r="C79" s="35"/>
    </row>
    <row r="80" spans="2:3" x14ac:dyDescent="0.35">
      <c r="B80" s="35"/>
      <c r="C80" s="35"/>
    </row>
    <row r="81" spans="2:3" x14ac:dyDescent="0.35">
      <c r="B81" s="35"/>
      <c r="C81" s="35"/>
    </row>
    <row r="82" spans="2:3" x14ac:dyDescent="0.35">
      <c r="B82" s="35"/>
      <c r="C82" s="35"/>
    </row>
    <row r="83" spans="2:3" x14ac:dyDescent="0.35">
      <c r="B83" s="35"/>
      <c r="C83" s="35"/>
    </row>
    <row r="84" spans="2:3" x14ac:dyDescent="0.35">
      <c r="B84" s="35"/>
      <c r="C84" s="35"/>
    </row>
    <row r="85" spans="2:3" x14ac:dyDescent="0.35">
      <c r="B85" s="35"/>
      <c r="C85" s="35"/>
    </row>
    <row r="86" spans="2:3" x14ac:dyDescent="0.35">
      <c r="B86" s="35"/>
      <c r="C86" s="35"/>
    </row>
    <row r="87" spans="2:3" x14ac:dyDescent="0.35">
      <c r="B87" s="35"/>
      <c r="C87" s="35"/>
    </row>
    <row r="88" spans="2:3" x14ac:dyDescent="0.35">
      <c r="B88" s="35"/>
      <c r="C88" s="35"/>
    </row>
    <row r="89" spans="2:3" x14ac:dyDescent="0.35">
      <c r="B89" s="35"/>
      <c r="C89" s="35"/>
    </row>
    <row r="90" spans="2:3" x14ac:dyDescent="0.35">
      <c r="B90" s="35"/>
      <c r="C90" s="35"/>
    </row>
    <row r="91" spans="2:3" x14ac:dyDescent="0.35">
      <c r="B91" s="35"/>
      <c r="C91" s="35"/>
    </row>
    <row r="92" spans="2:3" x14ac:dyDescent="0.35">
      <c r="B92" s="35"/>
      <c r="C92" s="35"/>
    </row>
    <row r="93" spans="2:3" x14ac:dyDescent="0.35">
      <c r="B93" s="35"/>
      <c r="C93" s="35"/>
    </row>
    <row r="94" spans="2:3" x14ac:dyDescent="0.35">
      <c r="B94" s="35"/>
      <c r="C94" s="35"/>
    </row>
    <row r="95" spans="2:3" x14ac:dyDescent="0.35">
      <c r="B95" s="35"/>
      <c r="C95" s="35"/>
    </row>
    <row r="96" spans="2:3" x14ac:dyDescent="0.35">
      <c r="B96" s="35"/>
    </row>
  </sheetData>
  <mergeCells count="3">
    <mergeCell ref="A2:Q2"/>
    <mergeCell ref="A1:Q1"/>
    <mergeCell ref="A3:R3"/>
  </mergeCells>
  <pageMargins left="0.9055118110236221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88"/>
  <sheetViews>
    <sheetView topLeftCell="A3" zoomScaleNormal="100" workbookViewId="0">
      <selection activeCell="T8" sqref="T8"/>
    </sheetView>
  </sheetViews>
  <sheetFormatPr defaultColWidth="9.109375" defaultRowHeight="18" x14ac:dyDescent="0.35"/>
  <cols>
    <col min="1" max="1" width="9.33203125" style="1" customWidth="1"/>
    <col min="2" max="2" width="13.109375" style="1" customWidth="1"/>
    <col min="3" max="3" width="15.33203125" style="82" customWidth="1"/>
    <col min="4" max="4" width="13.5546875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4" style="1" customWidth="1"/>
    <col min="17" max="17" width="21.109375" style="1" customWidth="1"/>
    <col min="18" max="16384" width="9.109375" style="1"/>
  </cols>
  <sheetData>
    <row r="1" spans="1:18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18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x14ac:dyDescent="0.35">
      <c r="A3" s="101" t="s">
        <v>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8" x14ac:dyDescent="0.35">
      <c r="D4" s="23"/>
      <c r="Q4" s="23" t="s">
        <v>27</v>
      </c>
    </row>
    <row r="5" spans="1:18" ht="38.25" customHeight="1" x14ac:dyDescent="0.35">
      <c r="A5" s="3" t="s">
        <v>0</v>
      </c>
      <c r="B5" s="3" t="s">
        <v>1</v>
      </c>
      <c r="C5" s="83" t="s">
        <v>32</v>
      </c>
      <c r="D5" s="31" t="s">
        <v>38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72</v>
      </c>
      <c r="Q5" s="18" t="s">
        <v>51</v>
      </c>
    </row>
    <row r="6" spans="1:18" ht="52.5" customHeight="1" x14ac:dyDescent="0.35">
      <c r="A6" s="6">
        <v>70401</v>
      </c>
      <c r="B6" s="51" t="s">
        <v>69</v>
      </c>
      <c r="C6" s="84" t="s">
        <v>70</v>
      </c>
      <c r="D6" s="4">
        <v>20122.2</v>
      </c>
      <c r="E6" s="15">
        <v>934.1</v>
      </c>
      <c r="F6" s="7">
        <v>1329.2</v>
      </c>
      <c r="G6" s="7">
        <v>1150</v>
      </c>
      <c r="H6" s="7">
        <v>1150</v>
      </c>
      <c r="I6" s="7">
        <v>1150</v>
      </c>
      <c r="J6" s="7">
        <v>1550</v>
      </c>
      <c r="K6" s="7">
        <v>1550</v>
      </c>
      <c r="L6" s="7">
        <v>800</v>
      </c>
      <c r="M6" s="7">
        <v>1380</v>
      </c>
      <c r="N6" s="7">
        <v>1270</v>
      </c>
      <c r="O6" s="7">
        <v>1270</v>
      </c>
      <c r="P6" s="4">
        <f>21062.5+4633.7</f>
        <v>25696.2</v>
      </c>
      <c r="Q6" s="4">
        <f>13671.6+2987</f>
        <v>16658.599999999999</v>
      </c>
    </row>
    <row r="7" spans="1:18" ht="56.25" customHeight="1" x14ac:dyDescent="0.35">
      <c r="A7" s="8"/>
      <c r="B7" s="3">
        <v>2210</v>
      </c>
      <c r="C7" s="85" t="s">
        <v>33</v>
      </c>
      <c r="D7" s="4">
        <f>SUM(E7:O7)</f>
        <v>149.10000000000002</v>
      </c>
      <c r="E7" s="7">
        <v>5</v>
      </c>
      <c r="F7" s="7">
        <v>2.7</v>
      </c>
      <c r="G7" s="7">
        <v>50</v>
      </c>
      <c r="H7" s="7">
        <v>45</v>
      </c>
      <c r="I7" s="7">
        <v>12.4</v>
      </c>
      <c r="J7" s="7">
        <v>2</v>
      </c>
      <c r="K7" s="7">
        <v>2</v>
      </c>
      <c r="L7" s="7">
        <v>2</v>
      </c>
      <c r="M7" s="7">
        <v>20</v>
      </c>
      <c r="N7" s="7">
        <v>4</v>
      </c>
      <c r="O7" s="7">
        <v>4</v>
      </c>
      <c r="P7" s="4">
        <v>1952</v>
      </c>
      <c r="Q7" s="4">
        <v>1140.1600000000001</v>
      </c>
    </row>
    <row r="8" spans="1:18" ht="59.25" customHeight="1" x14ac:dyDescent="0.35">
      <c r="A8" s="8"/>
      <c r="B8" s="3">
        <v>2240</v>
      </c>
      <c r="C8" s="85" t="s">
        <v>34</v>
      </c>
      <c r="D8" s="4">
        <f>SUM(E8:O8)</f>
        <v>408.90000000000003</v>
      </c>
      <c r="E8" s="7">
        <v>160</v>
      </c>
      <c r="F8" s="7">
        <v>17.8</v>
      </c>
      <c r="G8" s="7">
        <v>17.8</v>
      </c>
      <c r="H8" s="7">
        <v>75</v>
      </c>
      <c r="I8" s="7">
        <v>28.3</v>
      </c>
      <c r="J8" s="7">
        <v>55</v>
      </c>
      <c r="K8" s="7">
        <v>5</v>
      </c>
      <c r="L8" s="7">
        <v>5</v>
      </c>
      <c r="M8" s="7">
        <v>25</v>
      </c>
      <c r="N8" s="7">
        <v>5</v>
      </c>
      <c r="O8" s="7">
        <v>15</v>
      </c>
      <c r="P8" s="4">
        <v>1638</v>
      </c>
      <c r="Q8" s="4">
        <v>1438</v>
      </c>
    </row>
    <row r="9" spans="1:18" ht="45.75" customHeight="1" x14ac:dyDescent="0.35">
      <c r="A9" s="8"/>
      <c r="B9" s="3">
        <v>2250</v>
      </c>
      <c r="C9" s="86" t="s">
        <v>44</v>
      </c>
      <c r="D9" s="4">
        <f>SUM(E9:O9)</f>
        <v>184.8</v>
      </c>
      <c r="E9" s="7"/>
      <c r="F9" s="7">
        <v>16.600000000000001</v>
      </c>
      <c r="G9" s="7">
        <v>33.200000000000003</v>
      </c>
      <c r="H9" s="7">
        <v>15</v>
      </c>
      <c r="I9" s="7">
        <v>15</v>
      </c>
      <c r="J9" s="7">
        <v>15</v>
      </c>
      <c r="K9" s="7">
        <v>15</v>
      </c>
      <c r="L9" s="7">
        <v>15</v>
      </c>
      <c r="M9" s="7">
        <v>20</v>
      </c>
      <c r="N9" s="7">
        <v>20</v>
      </c>
      <c r="O9" s="7">
        <v>20</v>
      </c>
      <c r="P9" s="4">
        <v>80.400000000000006</v>
      </c>
      <c r="Q9" s="4">
        <v>71.709999999999994</v>
      </c>
    </row>
    <row r="10" spans="1:18" ht="78" customHeight="1" x14ac:dyDescent="0.35">
      <c r="A10" s="8"/>
      <c r="B10" s="57">
        <v>2270</v>
      </c>
      <c r="C10" s="87" t="s">
        <v>35</v>
      </c>
      <c r="D10" s="58">
        <f>SUM(D11:D13)</f>
        <v>1609.1</v>
      </c>
      <c r="E10" s="58">
        <f t="shared" ref="E10:P10" si="0">SUM(E11:E13)</f>
        <v>97.6</v>
      </c>
      <c r="F10" s="58">
        <f t="shared" si="0"/>
        <v>722.4</v>
      </c>
      <c r="G10" s="58">
        <f t="shared" si="0"/>
        <v>547.5</v>
      </c>
      <c r="H10" s="58">
        <f t="shared" si="0"/>
        <v>31.5</v>
      </c>
      <c r="I10" s="58">
        <f t="shared" si="0"/>
        <v>41</v>
      </c>
      <c r="J10" s="58">
        <f t="shared" si="0"/>
        <v>35</v>
      </c>
      <c r="K10" s="58">
        <f t="shared" si="0"/>
        <v>31.5</v>
      </c>
      <c r="L10" s="58">
        <f t="shared" si="0"/>
        <v>21.3</v>
      </c>
      <c r="M10" s="58">
        <f t="shared" si="0"/>
        <v>21.4</v>
      </c>
      <c r="N10" s="58">
        <f t="shared" si="0"/>
        <v>22</v>
      </c>
      <c r="O10" s="58">
        <f t="shared" si="0"/>
        <v>37.9</v>
      </c>
      <c r="P10" s="58">
        <f t="shared" si="0"/>
        <v>5252</v>
      </c>
      <c r="Q10" s="58">
        <f>Q11+Q12+Q13</f>
        <v>1424.5239999999999</v>
      </c>
      <c r="R10" s="5"/>
    </row>
    <row r="11" spans="1:18" ht="48.75" customHeight="1" x14ac:dyDescent="0.35">
      <c r="A11" s="8"/>
      <c r="B11" s="3">
        <v>2271</v>
      </c>
      <c r="C11" s="86" t="s">
        <v>39</v>
      </c>
      <c r="D11" s="4">
        <f>SUM(E11:O11)</f>
        <v>1135.5</v>
      </c>
      <c r="E11" s="7">
        <v>44.3</v>
      </c>
      <c r="F11" s="7">
        <v>634.5</v>
      </c>
      <c r="G11" s="7">
        <v>456.7</v>
      </c>
      <c r="H11" s="7"/>
      <c r="I11" s="7"/>
      <c r="J11" s="7"/>
      <c r="K11" s="7"/>
      <c r="L11" s="7"/>
      <c r="M11" s="7"/>
      <c r="N11" s="7"/>
      <c r="O11" s="7"/>
      <c r="P11" s="4">
        <v>2000</v>
      </c>
      <c r="Q11" s="4">
        <v>910.00699999999995</v>
      </c>
    </row>
    <row r="12" spans="1:18" ht="81" customHeight="1" x14ac:dyDescent="0.35">
      <c r="A12" s="8"/>
      <c r="B12" s="3">
        <v>2272</v>
      </c>
      <c r="C12" s="86" t="s">
        <v>40</v>
      </c>
      <c r="D12" s="4">
        <f>SUM(E12:O12)</f>
        <v>28.7</v>
      </c>
      <c r="E12" s="7">
        <v>2.9</v>
      </c>
      <c r="F12" s="7">
        <v>7.3</v>
      </c>
      <c r="G12" s="7">
        <v>6</v>
      </c>
      <c r="H12" s="7">
        <v>1.3</v>
      </c>
      <c r="I12" s="7">
        <v>1</v>
      </c>
      <c r="J12" s="7">
        <v>2</v>
      </c>
      <c r="K12" s="7">
        <v>1.5</v>
      </c>
      <c r="L12" s="7">
        <v>1.3</v>
      </c>
      <c r="M12" s="7">
        <v>1.4</v>
      </c>
      <c r="N12" s="7">
        <v>2</v>
      </c>
      <c r="O12" s="7">
        <v>2</v>
      </c>
      <c r="P12" s="4">
        <v>52</v>
      </c>
      <c r="Q12" s="4">
        <v>28.652999999999999</v>
      </c>
    </row>
    <row r="13" spans="1:18" ht="50.25" customHeight="1" x14ac:dyDescent="0.35">
      <c r="A13" s="8"/>
      <c r="B13" s="3">
        <v>2273</v>
      </c>
      <c r="C13" s="86" t="s">
        <v>41</v>
      </c>
      <c r="D13" s="4">
        <f>SUM(E13:O13)</f>
        <v>444.9</v>
      </c>
      <c r="E13" s="7">
        <v>50.4</v>
      </c>
      <c r="F13" s="7">
        <v>80.599999999999994</v>
      </c>
      <c r="G13" s="7">
        <v>84.8</v>
      </c>
      <c r="H13" s="7">
        <v>30.2</v>
      </c>
      <c r="I13" s="7">
        <v>40</v>
      </c>
      <c r="J13" s="7">
        <v>33</v>
      </c>
      <c r="K13" s="7">
        <v>30</v>
      </c>
      <c r="L13" s="7">
        <v>20</v>
      </c>
      <c r="M13" s="7">
        <v>20</v>
      </c>
      <c r="N13" s="7">
        <v>20</v>
      </c>
      <c r="O13" s="7">
        <v>35.9</v>
      </c>
      <c r="P13" s="4">
        <v>3200</v>
      </c>
      <c r="Q13" s="4">
        <v>485.86399999999998</v>
      </c>
    </row>
    <row r="14" spans="1:18" ht="79.5" customHeight="1" x14ac:dyDescent="0.35">
      <c r="A14" s="8"/>
      <c r="B14" s="3">
        <v>2282</v>
      </c>
      <c r="C14" s="86" t="s">
        <v>45</v>
      </c>
      <c r="D14" s="4">
        <f>SUM(E14:O14)</f>
        <v>130</v>
      </c>
      <c r="E14" s="7"/>
      <c r="F14" s="7">
        <v>8</v>
      </c>
      <c r="G14" s="7">
        <v>25</v>
      </c>
      <c r="H14" s="7">
        <v>15</v>
      </c>
      <c r="I14" s="7"/>
      <c r="J14" s="7"/>
      <c r="K14" s="7"/>
      <c r="L14" s="7"/>
      <c r="M14" s="7"/>
      <c r="N14" s="7">
        <v>32</v>
      </c>
      <c r="O14" s="7">
        <v>50</v>
      </c>
      <c r="P14" s="4">
        <v>130</v>
      </c>
      <c r="Q14" s="4">
        <v>31</v>
      </c>
    </row>
    <row r="15" spans="1:18" x14ac:dyDescent="0.35">
      <c r="A15" s="8"/>
      <c r="B15" s="12"/>
      <c r="C15" s="88"/>
      <c r="D15" s="9">
        <f>D6+D7+D8+D9+D10+D14</f>
        <v>22604.1</v>
      </c>
      <c r="E15" s="9">
        <f t="shared" ref="E15:P15" si="1">E6+E7+E8+E9+E10+E14</f>
        <v>1196.6999999999998</v>
      </c>
      <c r="F15" s="9">
        <f t="shared" si="1"/>
        <v>2096.6999999999998</v>
      </c>
      <c r="G15" s="9">
        <f t="shared" si="1"/>
        <v>1823.5</v>
      </c>
      <c r="H15" s="9">
        <f t="shared" si="1"/>
        <v>1331.5</v>
      </c>
      <c r="I15" s="9">
        <f t="shared" si="1"/>
        <v>1246.7</v>
      </c>
      <c r="J15" s="9">
        <f t="shared" si="1"/>
        <v>1657</v>
      </c>
      <c r="K15" s="9">
        <f t="shared" si="1"/>
        <v>1603.5</v>
      </c>
      <c r="L15" s="9">
        <f t="shared" si="1"/>
        <v>843.3</v>
      </c>
      <c r="M15" s="9">
        <f t="shared" si="1"/>
        <v>1466.4</v>
      </c>
      <c r="N15" s="9">
        <f t="shared" si="1"/>
        <v>1353</v>
      </c>
      <c r="O15" s="9">
        <f t="shared" si="1"/>
        <v>1396.9</v>
      </c>
      <c r="P15" s="9">
        <f t="shared" si="1"/>
        <v>34748.600000000006</v>
      </c>
      <c r="Q15" s="81">
        <f t="shared" ref="Q15" si="2">Q6+Q7+Q8+Q9+Q10+Q14</f>
        <v>20763.993999999999</v>
      </c>
    </row>
    <row r="16" spans="1:18" x14ac:dyDescent="0.35">
      <c r="B16" s="22"/>
      <c r="D16" s="22"/>
    </row>
    <row r="17" spans="2:4" x14ac:dyDescent="0.35">
      <c r="B17" s="22"/>
      <c r="D17" s="22"/>
    </row>
    <row r="18" spans="2:4" x14ac:dyDescent="0.35">
      <c r="B18" s="22"/>
      <c r="D18" s="22"/>
    </row>
    <row r="19" spans="2:4" x14ac:dyDescent="0.35">
      <c r="B19" s="22"/>
      <c r="D19" s="22"/>
    </row>
    <row r="20" spans="2:4" x14ac:dyDescent="0.35">
      <c r="B20" s="22"/>
      <c r="D20" s="22"/>
    </row>
    <row r="21" spans="2:4" x14ac:dyDescent="0.35">
      <c r="B21" s="22"/>
      <c r="D21" s="22"/>
    </row>
    <row r="22" spans="2:4" x14ac:dyDescent="0.35">
      <c r="B22" s="22"/>
      <c r="D22" s="22"/>
    </row>
    <row r="23" spans="2:4" x14ac:dyDescent="0.35">
      <c r="B23" s="22"/>
      <c r="D23" s="22"/>
    </row>
    <row r="24" spans="2:4" x14ac:dyDescent="0.35">
      <c r="B24" s="22"/>
      <c r="D24" s="22"/>
    </row>
    <row r="25" spans="2:4" x14ac:dyDescent="0.35">
      <c r="B25" s="22"/>
      <c r="D25" s="22"/>
    </row>
    <row r="26" spans="2:4" x14ac:dyDescent="0.35">
      <c r="B26" s="22"/>
      <c r="D26" s="22"/>
    </row>
    <row r="27" spans="2:4" x14ac:dyDescent="0.35">
      <c r="B27" s="22"/>
      <c r="D27" s="22"/>
    </row>
    <row r="28" spans="2:4" x14ac:dyDescent="0.35">
      <c r="B28" s="22"/>
      <c r="D28" s="22"/>
    </row>
    <row r="29" spans="2:4" x14ac:dyDescent="0.35">
      <c r="B29" s="22"/>
      <c r="D29" s="22"/>
    </row>
    <row r="30" spans="2:4" x14ac:dyDescent="0.35">
      <c r="B30" s="22"/>
      <c r="D30" s="22"/>
    </row>
    <row r="31" spans="2:4" x14ac:dyDescent="0.35">
      <c r="B31" s="22"/>
      <c r="D31" s="22"/>
    </row>
    <row r="32" spans="2:4" x14ac:dyDescent="0.35">
      <c r="B32" s="22"/>
      <c r="D32" s="22"/>
    </row>
    <row r="33" spans="2:4" x14ac:dyDescent="0.35">
      <c r="B33" s="22"/>
      <c r="D33" s="22"/>
    </row>
    <row r="34" spans="2:4" x14ac:dyDescent="0.35">
      <c r="B34" s="22"/>
      <c r="D34" s="22"/>
    </row>
    <row r="35" spans="2:4" x14ac:dyDescent="0.35">
      <c r="B35" s="22"/>
      <c r="D35" s="22"/>
    </row>
    <row r="36" spans="2:4" x14ac:dyDescent="0.35">
      <c r="B36" s="22"/>
      <c r="D36" s="22"/>
    </row>
    <row r="37" spans="2:4" x14ac:dyDescent="0.35">
      <c r="B37" s="22"/>
      <c r="D37" s="22"/>
    </row>
    <row r="38" spans="2:4" x14ac:dyDescent="0.35">
      <c r="B38" s="22"/>
      <c r="D38" s="22"/>
    </row>
    <row r="39" spans="2:4" x14ac:dyDescent="0.35">
      <c r="B39" s="22"/>
      <c r="D39" s="22"/>
    </row>
    <row r="40" spans="2:4" x14ac:dyDescent="0.35">
      <c r="B40" s="22"/>
      <c r="D40" s="22"/>
    </row>
    <row r="41" spans="2:4" x14ac:dyDescent="0.35">
      <c r="B41" s="22"/>
      <c r="D41" s="22"/>
    </row>
    <row r="42" spans="2:4" x14ac:dyDescent="0.35">
      <c r="B42" s="22"/>
      <c r="D42" s="22"/>
    </row>
    <row r="43" spans="2:4" x14ac:dyDescent="0.35">
      <c r="B43" s="22"/>
      <c r="D43" s="22"/>
    </row>
    <row r="44" spans="2:4" x14ac:dyDescent="0.35">
      <c r="B44" s="22"/>
      <c r="D44" s="22"/>
    </row>
    <row r="45" spans="2:4" x14ac:dyDescent="0.35">
      <c r="B45" s="22"/>
      <c r="D45" s="22"/>
    </row>
    <row r="46" spans="2:4" x14ac:dyDescent="0.35">
      <c r="B46" s="22"/>
      <c r="D46" s="22"/>
    </row>
    <row r="47" spans="2:4" x14ac:dyDescent="0.35">
      <c r="B47" s="22"/>
      <c r="D47" s="22"/>
    </row>
    <row r="48" spans="2:4" x14ac:dyDescent="0.35">
      <c r="B48" s="22"/>
      <c r="D48" s="22"/>
    </row>
    <row r="49" spans="2:4" x14ac:dyDescent="0.35">
      <c r="B49" s="22"/>
      <c r="D49" s="22"/>
    </row>
    <row r="50" spans="2:4" x14ac:dyDescent="0.35">
      <c r="B50" s="22"/>
      <c r="D50" s="22"/>
    </row>
    <row r="51" spans="2:4" x14ac:dyDescent="0.35">
      <c r="B51" s="22"/>
      <c r="D51" s="22"/>
    </row>
    <row r="52" spans="2:4" x14ac:dyDescent="0.35">
      <c r="B52" s="22"/>
      <c r="D52" s="22"/>
    </row>
    <row r="53" spans="2:4" x14ac:dyDescent="0.35">
      <c r="B53" s="22"/>
      <c r="D53" s="22"/>
    </row>
    <row r="54" spans="2:4" x14ac:dyDescent="0.35">
      <c r="B54" s="22"/>
      <c r="D54" s="22"/>
    </row>
    <row r="55" spans="2:4" x14ac:dyDescent="0.35">
      <c r="B55" s="22"/>
      <c r="D55" s="22"/>
    </row>
    <row r="56" spans="2:4" x14ac:dyDescent="0.35">
      <c r="B56" s="22"/>
      <c r="D56" s="22"/>
    </row>
    <row r="57" spans="2:4" x14ac:dyDescent="0.35">
      <c r="B57" s="22"/>
      <c r="D57" s="22"/>
    </row>
    <row r="58" spans="2:4" x14ac:dyDescent="0.35">
      <c r="B58" s="22"/>
      <c r="D58" s="22"/>
    </row>
    <row r="59" spans="2:4" x14ac:dyDescent="0.35">
      <c r="B59" s="22"/>
      <c r="D59" s="22"/>
    </row>
    <row r="60" spans="2:4" x14ac:dyDescent="0.35">
      <c r="B60" s="22"/>
      <c r="D60" s="22"/>
    </row>
    <row r="61" spans="2:4" x14ac:dyDescent="0.35">
      <c r="B61" s="22"/>
      <c r="D61" s="22"/>
    </row>
    <row r="62" spans="2:4" x14ac:dyDescent="0.35">
      <c r="B62" s="22"/>
      <c r="D62" s="22"/>
    </row>
    <row r="63" spans="2:4" x14ac:dyDescent="0.35">
      <c r="B63" s="22"/>
      <c r="D63" s="22"/>
    </row>
    <row r="64" spans="2:4" x14ac:dyDescent="0.35">
      <c r="B64" s="22"/>
      <c r="D64" s="22"/>
    </row>
    <row r="65" spans="2:4" x14ac:dyDescent="0.35">
      <c r="B65" s="22"/>
      <c r="D65" s="22"/>
    </row>
    <row r="66" spans="2:4" x14ac:dyDescent="0.35">
      <c r="B66" s="22"/>
      <c r="D66" s="22"/>
    </row>
    <row r="67" spans="2:4" x14ac:dyDescent="0.35">
      <c r="B67" s="22"/>
      <c r="D67" s="22"/>
    </row>
    <row r="68" spans="2:4" x14ac:dyDescent="0.35">
      <c r="B68" s="22"/>
      <c r="D68" s="22"/>
    </row>
    <row r="69" spans="2:4" x14ac:dyDescent="0.35">
      <c r="B69" s="22"/>
      <c r="D69" s="22"/>
    </row>
    <row r="70" spans="2:4" x14ac:dyDescent="0.35">
      <c r="B70" s="22"/>
      <c r="D70" s="22"/>
    </row>
    <row r="71" spans="2:4" x14ac:dyDescent="0.35">
      <c r="B71" s="22"/>
      <c r="D71" s="22"/>
    </row>
    <row r="72" spans="2:4" x14ac:dyDescent="0.35">
      <c r="B72" s="22"/>
      <c r="D72" s="22"/>
    </row>
    <row r="73" spans="2:4" x14ac:dyDescent="0.35">
      <c r="B73" s="22"/>
      <c r="D73" s="22"/>
    </row>
    <row r="74" spans="2:4" x14ac:dyDescent="0.35">
      <c r="B74" s="22"/>
      <c r="D74" s="22"/>
    </row>
    <row r="75" spans="2:4" x14ac:dyDescent="0.35">
      <c r="B75" s="22"/>
      <c r="D75" s="22"/>
    </row>
    <row r="76" spans="2:4" x14ac:dyDescent="0.35">
      <c r="B76" s="22"/>
      <c r="D76" s="22"/>
    </row>
    <row r="77" spans="2:4" x14ac:dyDescent="0.35">
      <c r="B77" s="22"/>
      <c r="D77" s="22"/>
    </row>
    <row r="78" spans="2:4" x14ac:dyDescent="0.35">
      <c r="B78" s="22"/>
      <c r="D78" s="22"/>
    </row>
    <row r="79" spans="2:4" x14ac:dyDescent="0.35">
      <c r="B79" s="22"/>
      <c r="D79" s="22"/>
    </row>
    <row r="80" spans="2:4" x14ac:dyDescent="0.35">
      <c r="B80" s="22"/>
      <c r="D80" s="22"/>
    </row>
    <row r="81" spans="2:4" x14ac:dyDescent="0.35">
      <c r="B81" s="22"/>
      <c r="D81" s="22"/>
    </row>
    <row r="82" spans="2:4" x14ac:dyDescent="0.35">
      <c r="B82" s="22"/>
      <c r="D82" s="22"/>
    </row>
    <row r="83" spans="2:4" x14ac:dyDescent="0.35">
      <c r="B83" s="22"/>
      <c r="D83" s="22"/>
    </row>
    <row r="84" spans="2:4" x14ac:dyDescent="0.35">
      <c r="B84" s="22"/>
      <c r="D84" s="22"/>
    </row>
    <row r="85" spans="2:4" x14ac:dyDescent="0.35">
      <c r="B85" s="22"/>
      <c r="D85" s="22"/>
    </row>
    <row r="86" spans="2:4" x14ac:dyDescent="0.35">
      <c r="B86" s="22"/>
      <c r="D86" s="22"/>
    </row>
    <row r="87" spans="2:4" x14ac:dyDescent="0.35">
      <c r="B87" s="22"/>
      <c r="D87" s="22"/>
    </row>
    <row r="88" spans="2:4" x14ac:dyDescent="0.35">
      <c r="B88" s="22"/>
    </row>
  </sheetData>
  <mergeCells count="3">
    <mergeCell ref="A1:Q1"/>
    <mergeCell ref="A3:Q3"/>
    <mergeCell ref="A2:R2"/>
  </mergeCells>
  <pageMargins left="0.9055118110236221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2"/>
  <sheetViews>
    <sheetView zoomScaleNormal="100" workbookViewId="0">
      <selection activeCell="Q15" sqref="Q15"/>
    </sheetView>
  </sheetViews>
  <sheetFormatPr defaultColWidth="9.109375" defaultRowHeight="18" x14ac:dyDescent="0.35"/>
  <cols>
    <col min="1" max="1" width="8.44140625" style="1" customWidth="1"/>
    <col min="2" max="2" width="13.109375" style="1" customWidth="1"/>
    <col min="3" max="3" width="11" style="1" customWidth="1"/>
    <col min="4" max="4" width="16.109375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5.44140625" style="1" customWidth="1"/>
    <col min="18" max="18" width="20.33203125" style="1" customWidth="1"/>
    <col min="19" max="16384" width="9.109375" style="1"/>
  </cols>
  <sheetData>
    <row r="1" spans="1:19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9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9" x14ac:dyDescent="0.35">
      <c r="A3" s="101" t="s">
        <v>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9" x14ac:dyDescent="0.35">
      <c r="D4" s="23"/>
      <c r="R4" s="23" t="s">
        <v>27</v>
      </c>
    </row>
    <row r="5" spans="1:19" ht="42.75" customHeight="1" x14ac:dyDescent="0.35">
      <c r="A5" s="3" t="s">
        <v>0</v>
      </c>
      <c r="B5" s="3" t="s">
        <v>1</v>
      </c>
      <c r="C5" s="89" t="s">
        <v>32</v>
      </c>
      <c r="D5" s="31" t="s">
        <v>38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13</v>
      </c>
      <c r="Q5" s="31" t="s">
        <v>73</v>
      </c>
      <c r="R5" s="18" t="s">
        <v>51</v>
      </c>
    </row>
    <row r="6" spans="1:19" ht="57" customHeight="1" x14ac:dyDescent="0.35">
      <c r="A6" s="8">
        <v>70401</v>
      </c>
      <c r="B6" s="51" t="s">
        <v>69</v>
      </c>
      <c r="C6" s="84" t="s">
        <v>70</v>
      </c>
      <c r="D6" s="53">
        <v>2180.6</v>
      </c>
      <c r="E6" s="7">
        <v>543.70000000000005</v>
      </c>
      <c r="F6" s="7">
        <v>800</v>
      </c>
      <c r="G6" s="7">
        <v>620</v>
      </c>
      <c r="H6" s="7">
        <v>620</v>
      </c>
      <c r="I6" s="7">
        <v>2078.4</v>
      </c>
      <c r="J6" s="7">
        <v>371.5</v>
      </c>
      <c r="K6" s="7">
        <v>320</v>
      </c>
      <c r="L6" s="7">
        <v>350</v>
      </c>
      <c r="M6" s="7">
        <v>720</v>
      </c>
      <c r="N6" s="7">
        <v>627.20000000000005</v>
      </c>
      <c r="O6" s="7">
        <v>627.20000000000005</v>
      </c>
      <c r="P6" s="7">
        <v>627.20000000000005</v>
      </c>
      <c r="Q6" s="4">
        <f>2209.5+486.1</f>
        <v>2695.6</v>
      </c>
      <c r="R6" s="4">
        <f>1582.7+348.1</f>
        <v>1930.8000000000002</v>
      </c>
    </row>
    <row r="7" spans="1:19" ht="58.5" customHeight="1" x14ac:dyDescent="0.35">
      <c r="A7" s="8"/>
      <c r="B7" s="3">
        <v>2210</v>
      </c>
      <c r="C7" s="85" t="s">
        <v>33</v>
      </c>
      <c r="D7" s="4">
        <f t="shared" ref="D7:D14" si="0">SUM(E7:P7)</f>
        <v>65.600000000000009</v>
      </c>
      <c r="E7" s="16">
        <v>0.9</v>
      </c>
      <c r="F7" s="16">
        <v>0.9</v>
      </c>
      <c r="G7" s="7">
        <v>0.9</v>
      </c>
      <c r="H7" s="7">
        <v>30</v>
      </c>
      <c r="I7" s="16">
        <v>25</v>
      </c>
      <c r="J7" s="16">
        <v>1.5</v>
      </c>
      <c r="K7" s="16">
        <v>1.5</v>
      </c>
      <c r="L7" s="16">
        <v>1.5</v>
      </c>
      <c r="M7" s="16">
        <v>1.5</v>
      </c>
      <c r="N7" s="16">
        <v>1.9</v>
      </c>
      <c r="O7" s="7"/>
      <c r="P7" s="7"/>
      <c r="Q7" s="4">
        <v>535.1</v>
      </c>
      <c r="R7" s="4">
        <v>335</v>
      </c>
    </row>
    <row r="8" spans="1:19" ht="57.75" customHeight="1" x14ac:dyDescent="0.35">
      <c r="A8" s="8"/>
      <c r="B8" s="3">
        <v>2240</v>
      </c>
      <c r="C8" s="85" t="s">
        <v>34</v>
      </c>
      <c r="D8" s="4">
        <f t="shared" si="0"/>
        <v>95.399999999999991</v>
      </c>
      <c r="E8" s="16">
        <v>0.4</v>
      </c>
      <c r="F8" s="16">
        <v>2.9</v>
      </c>
      <c r="G8" s="16">
        <v>3.5</v>
      </c>
      <c r="H8" s="7">
        <v>15</v>
      </c>
      <c r="I8" s="7">
        <v>25</v>
      </c>
      <c r="J8" s="7">
        <v>12</v>
      </c>
      <c r="K8" s="7">
        <v>4</v>
      </c>
      <c r="L8" s="7">
        <v>4</v>
      </c>
      <c r="M8" s="7">
        <v>4</v>
      </c>
      <c r="N8" s="7">
        <v>20</v>
      </c>
      <c r="O8" s="7">
        <v>4.5999999999999996</v>
      </c>
      <c r="P8" s="7"/>
      <c r="Q8" s="4">
        <v>380</v>
      </c>
      <c r="R8" s="4">
        <v>320</v>
      </c>
    </row>
    <row r="9" spans="1:19" ht="63.75" customHeight="1" x14ac:dyDescent="0.35">
      <c r="A9" s="8"/>
      <c r="B9" s="3">
        <v>2250</v>
      </c>
      <c r="C9" s="86" t="s">
        <v>35</v>
      </c>
      <c r="D9" s="4">
        <f>SUM(E9:P9)</f>
        <v>65</v>
      </c>
      <c r="E9" s="7">
        <v>3</v>
      </c>
      <c r="F9" s="16">
        <v>0</v>
      </c>
      <c r="G9" s="16">
        <v>0</v>
      </c>
      <c r="H9" s="7">
        <v>10</v>
      </c>
      <c r="I9" s="7">
        <v>15</v>
      </c>
      <c r="J9" s="7">
        <v>15</v>
      </c>
      <c r="K9" s="7">
        <v>15</v>
      </c>
      <c r="L9" s="7">
        <v>7</v>
      </c>
      <c r="M9" s="7"/>
      <c r="N9" s="7"/>
      <c r="O9" s="7"/>
      <c r="P9" s="7"/>
      <c r="Q9" s="4">
        <v>40</v>
      </c>
      <c r="R9" s="4">
        <v>38</v>
      </c>
    </row>
    <row r="10" spans="1:19" ht="64.5" customHeight="1" x14ac:dyDescent="0.35">
      <c r="A10" s="8"/>
      <c r="B10" s="57">
        <v>2270</v>
      </c>
      <c r="C10" s="87" t="s">
        <v>35</v>
      </c>
      <c r="D10" s="58">
        <f>D11+D12+D13</f>
        <v>462.6</v>
      </c>
      <c r="E10" s="58">
        <f t="shared" ref="E10:Q10" si="1">E11+E12+E13</f>
        <v>5.0999999999999996</v>
      </c>
      <c r="F10" s="58">
        <f t="shared" si="1"/>
        <v>136.30000000000001</v>
      </c>
      <c r="G10" s="58">
        <f t="shared" si="1"/>
        <v>101.1</v>
      </c>
      <c r="H10" s="58">
        <f t="shared" si="1"/>
        <v>65.5</v>
      </c>
      <c r="I10" s="58">
        <f t="shared" si="1"/>
        <v>56.5</v>
      </c>
      <c r="J10" s="58">
        <f t="shared" si="1"/>
        <v>34.6</v>
      </c>
      <c r="K10" s="58">
        <f t="shared" si="1"/>
        <v>6.6</v>
      </c>
      <c r="L10" s="58">
        <f t="shared" si="1"/>
        <v>6.6</v>
      </c>
      <c r="M10" s="58">
        <f t="shared" si="1"/>
        <v>6.6</v>
      </c>
      <c r="N10" s="58">
        <f t="shared" si="1"/>
        <v>18.100000000000001</v>
      </c>
      <c r="O10" s="58">
        <f t="shared" si="1"/>
        <v>14.1</v>
      </c>
      <c r="P10" s="58">
        <f t="shared" si="1"/>
        <v>11.5</v>
      </c>
      <c r="Q10" s="58">
        <f t="shared" si="1"/>
        <v>1526.5</v>
      </c>
      <c r="R10" s="58">
        <f t="shared" ref="R10" si="2">R11+R12+R13</f>
        <v>785.14</v>
      </c>
      <c r="S10" s="5">
        <f>R11+R12+R13</f>
        <v>785.14</v>
      </c>
    </row>
    <row r="11" spans="1:19" ht="40.5" customHeight="1" x14ac:dyDescent="0.35">
      <c r="A11" s="8"/>
      <c r="B11" s="3">
        <v>2271</v>
      </c>
      <c r="C11" s="86" t="s">
        <v>39</v>
      </c>
      <c r="D11" s="4">
        <f t="shared" ref="D11:D13" si="3">SUM(E11:P11)</f>
        <v>400</v>
      </c>
      <c r="E11" s="16">
        <v>0</v>
      </c>
      <c r="F11" s="16">
        <v>126.3</v>
      </c>
      <c r="G11" s="7">
        <v>90.8</v>
      </c>
      <c r="H11" s="7">
        <v>60</v>
      </c>
      <c r="I11" s="7">
        <v>51.9</v>
      </c>
      <c r="J11" s="7">
        <v>30</v>
      </c>
      <c r="K11" s="7">
        <v>2</v>
      </c>
      <c r="L11" s="7">
        <v>2</v>
      </c>
      <c r="M11" s="7">
        <v>2</v>
      </c>
      <c r="N11" s="7">
        <v>15</v>
      </c>
      <c r="O11" s="7">
        <v>10</v>
      </c>
      <c r="P11" s="7">
        <v>10</v>
      </c>
      <c r="Q11" s="4">
        <v>1400</v>
      </c>
      <c r="R11" s="4">
        <v>740</v>
      </c>
    </row>
    <row r="12" spans="1:19" ht="65.25" customHeight="1" x14ac:dyDescent="0.35">
      <c r="A12" s="8"/>
      <c r="B12" s="3">
        <v>2272</v>
      </c>
      <c r="C12" s="86" t="s">
        <v>40</v>
      </c>
      <c r="D12" s="4">
        <f t="shared" si="3"/>
        <v>18.099999999999998</v>
      </c>
      <c r="E12" s="7">
        <v>1.3</v>
      </c>
      <c r="F12" s="7">
        <v>3.2</v>
      </c>
      <c r="G12" s="7">
        <v>3.7</v>
      </c>
      <c r="H12" s="7">
        <v>2</v>
      </c>
      <c r="I12" s="7">
        <v>1.1000000000000001</v>
      </c>
      <c r="J12" s="7">
        <v>1.1000000000000001</v>
      </c>
      <c r="K12" s="7">
        <v>1.1000000000000001</v>
      </c>
      <c r="L12" s="7">
        <v>1.1000000000000001</v>
      </c>
      <c r="M12" s="7">
        <v>1.1000000000000001</v>
      </c>
      <c r="N12" s="7">
        <v>1.1000000000000001</v>
      </c>
      <c r="O12" s="7">
        <v>1.1000000000000001</v>
      </c>
      <c r="P12" s="7">
        <v>0.2</v>
      </c>
      <c r="Q12" s="4">
        <v>36.5</v>
      </c>
      <c r="R12" s="4">
        <v>11.478</v>
      </c>
    </row>
    <row r="13" spans="1:19" ht="38.25" customHeight="1" x14ac:dyDescent="0.35">
      <c r="A13" s="8"/>
      <c r="B13" s="3">
        <v>2273</v>
      </c>
      <c r="C13" s="86" t="s">
        <v>41</v>
      </c>
      <c r="D13" s="4">
        <f t="shared" si="3"/>
        <v>44.5</v>
      </c>
      <c r="E13" s="16">
        <v>3.8</v>
      </c>
      <c r="F13" s="16">
        <v>6.8</v>
      </c>
      <c r="G13" s="7">
        <v>6.6</v>
      </c>
      <c r="H13" s="7">
        <v>3.5</v>
      </c>
      <c r="I13" s="7">
        <v>3.5</v>
      </c>
      <c r="J13" s="7">
        <v>3.5</v>
      </c>
      <c r="K13" s="7">
        <v>3.5</v>
      </c>
      <c r="L13" s="7">
        <v>3.5</v>
      </c>
      <c r="M13" s="7">
        <v>3.5</v>
      </c>
      <c r="N13" s="7">
        <v>2</v>
      </c>
      <c r="O13" s="7">
        <v>3</v>
      </c>
      <c r="P13" s="7">
        <v>1.3</v>
      </c>
      <c r="Q13" s="4">
        <v>90</v>
      </c>
      <c r="R13" s="4">
        <v>33.661999999999999</v>
      </c>
    </row>
    <row r="14" spans="1:19" ht="66" x14ac:dyDescent="0.35">
      <c r="A14" s="8"/>
      <c r="B14" s="3">
        <v>2282</v>
      </c>
      <c r="C14" s="86" t="s">
        <v>45</v>
      </c>
      <c r="D14" s="4">
        <f t="shared" si="0"/>
        <v>115</v>
      </c>
      <c r="E14" s="7"/>
      <c r="F14" s="16">
        <v>5</v>
      </c>
      <c r="G14" s="7"/>
      <c r="H14" s="7">
        <v>57.5</v>
      </c>
      <c r="I14" s="7">
        <v>37.5</v>
      </c>
      <c r="J14" s="7"/>
      <c r="K14" s="7"/>
      <c r="L14" s="7"/>
      <c r="M14" s="7">
        <v>15</v>
      </c>
      <c r="N14" s="7"/>
      <c r="O14" s="7"/>
      <c r="P14" s="28"/>
      <c r="Q14" s="77">
        <v>80</v>
      </c>
      <c r="R14" s="4"/>
    </row>
    <row r="15" spans="1:19" x14ac:dyDescent="0.35">
      <c r="A15" s="16"/>
      <c r="B15" s="3"/>
      <c r="C15" s="3"/>
      <c r="D15" s="9">
        <f>D6+D7+D8+D9+D10+D14</f>
        <v>2984.2</v>
      </c>
      <c r="E15" s="9">
        <f t="shared" ref="E15:Q15" si="4">E6+E7+E8+E9+E10+E14</f>
        <v>553.1</v>
      </c>
      <c r="F15" s="9">
        <f t="shared" si="4"/>
        <v>945.09999999999991</v>
      </c>
      <c r="G15" s="9">
        <f t="shared" si="4"/>
        <v>725.5</v>
      </c>
      <c r="H15" s="9">
        <f t="shared" si="4"/>
        <v>798</v>
      </c>
      <c r="I15" s="9">
        <f t="shared" si="4"/>
        <v>2237.4</v>
      </c>
      <c r="J15" s="9">
        <f t="shared" si="4"/>
        <v>434.6</v>
      </c>
      <c r="K15" s="9">
        <f t="shared" si="4"/>
        <v>347.1</v>
      </c>
      <c r="L15" s="9">
        <f t="shared" si="4"/>
        <v>369.1</v>
      </c>
      <c r="M15" s="9">
        <f t="shared" si="4"/>
        <v>747.1</v>
      </c>
      <c r="N15" s="9">
        <f t="shared" si="4"/>
        <v>667.2</v>
      </c>
      <c r="O15" s="9">
        <f t="shared" si="4"/>
        <v>645.90000000000009</v>
      </c>
      <c r="P15" s="9">
        <f t="shared" si="4"/>
        <v>638.70000000000005</v>
      </c>
      <c r="Q15" s="9">
        <f t="shared" si="4"/>
        <v>5257.2</v>
      </c>
      <c r="R15" s="9">
        <f t="shared" ref="R15" si="5">R6+R7+R8+R9+R10+R14</f>
        <v>3408.94</v>
      </c>
      <c r="S15" s="30"/>
    </row>
    <row r="16" spans="1:19" x14ac:dyDescent="0.35">
      <c r="B16" s="22"/>
      <c r="C16" s="22"/>
      <c r="D16" s="29"/>
    </row>
    <row r="17" spans="2:4" x14ac:dyDescent="0.35">
      <c r="B17" s="22"/>
      <c r="C17" s="22"/>
      <c r="D17" s="22"/>
    </row>
    <row r="18" spans="2:4" x14ac:dyDescent="0.35">
      <c r="B18" s="22"/>
      <c r="C18" s="22"/>
      <c r="D18" s="22"/>
    </row>
    <row r="19" spans="2:4" x14ac:dyDescent="0.35">
      <c r="B19" s="22"/>
      <c r="C19" s="22"/>
      <c r="D19" s="22"/>
    </row>
    <row r="20" spans="2:4" x14ac:dyDescent="0.35">
      <c r="B20" s="22"/>
      <c r="C20" s="22"/>
      <c r="D20" s="22"/>
    </row>
    <row r="21" spans="2:4" x14ac:dyDescent="0.35">
      <c r="B21" s="22"/>
      <c r="C21" s="22"/>
      <c r="D21" s="22"/>
    </row>
    <row r="22" spans="2:4" x14ac:dyDescent="0.35">
      <c r="B22" s="22"/>
      <c r="C22" s="22"/>
    </row>
  </sheetData>
  <mergeCells count="3">
    <mergeCell ref="A1:R1"/>
    <mergeCell ref="A2:R2"/>
    <mergeCell ref="A3:R3"/>
  </mergeCells>
  <pageMargins left="0.9055118110236221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90"/>
  <sheetViews>
    <sheetView zoomScaleNormal="100" workbookViewId="0">
      <selection activeCell="B16" sqref="B16"/>
    </sheetView>
  </sheetViews>
  <sheetFormatPr defaultColWidth="9.109375" defaultRowHeight="18" x14ac:dyDescent="0.35"/>
  <cols>
    <col min="1" max="1" width="9.109375" style="1" customWidth="1"/>
    <col min="2" max="2" width="13.6640625" style="1" customWidth="1"/>
    <col min="3" max="3" width="14.44140625" style="1" customWidth="1"/>
    <col min="4" max="4" width="16.44140625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3.33203125" style="76" customWidth="1"/>
    <col min="18" max="18" width="20.33203125" style="1" customWidth="1"/>
    <col min="19" max="16384" width="9.109375" style="1"/>
  </cols>
  <sheetData>
    <row r="1" spans="1:19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9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9" x14ac:dyDescent="0.35">
      <c r="A3" s="101" t="s">
        <v>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9" x14ac:dyDescent="0.35">
      <c r="D4" s="23"/>
      <c r="R4" s="23" t="s">
        <v>27</v>
      </c>
    </row>
    <row r="5" spans="1:19" ht="33" customHeight="1" x14ac:dyDescent="0.35">
      <c r="A5" s="3" t="s">
        <v>0</v>
      </c>
      <c r="B5" s="3" t="s">
        <v>1</v>
      </c>
      <c r="C5" s="3" t="s">
        <v>32</v>
      </c>
      <c r="D5" s="31" t="s">
        <v>38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13</v>
      </c>
      <c r="Q5" s="31" t="s">
        <v>74</v>
      </c>
      <c r="R5" s="18" t="s">
        <v>51</v>
      </c>
    </row>
    <row r="6" spans="1:19" ht="36" customHeight="1" x14ac:dyDescent="0.35">
      <c r="A6" s="8">
        <v>70401</v>
      </c>
      <c r="B6" s="51" t="s">
        <v>69</v>
      </c>
      <c r="C6" s="84" t="s">
        <v>70</v>
      </c>
      <c r="D6" s="53">
        <v>5032</v>
      </c>
      <c r="E6" s="53">
        <v>5032</v>
      </c>
      <c r="F6" s="53">
        <v>5032</v>
      </c>
      <c r="G6" s="53">
        <v>5032</v>
      </c>
      <c r="H6" s="53">
        <v>5032</v>
      </c>
      <c r="I6" s="53">
        <v>5032</v>
      </c>
      <c r="J6" s="53">
        <v>5032</v>
      </c>
      <c r="K6" s="53">
        <v>5032</v>
      </c>
      <c r="L6" s="53">
        <v>5032</v>
      </c>
      <c r="M6" s="53">
        <v>5032</v>
      </c>
      <c r="N6" s="53">
        <v>5032</v>
      </c>
      <c r="O6" s="53">
        <v>5032</v>
      </c>
      <c r="P6" s="53">
        <v>5032</v>
      </c>
      <c r="Q6" s="53">
        <f>4698.8+1033.8</f>
        <v>5732.6</v>
      </c>
      <c r="R6" s="4">
        <f>3346.794+721.912</f>
        <v>4068.7060000000001</v>
      </c>
    </row>
    <row r="7" spans="1:19" ht="60" customHeight="1" x14ac:dyDescent="0.35">
      <c r="A7" s="8"/>
      <c r="B7" s="60">
        <v>2210</v>
      </c>
      <c r="C7" s="85" t="s">
        <v>33</v>
      </c>
      <c r="D7" s="53">
        <v>81.900000000000006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">
        <v>327.7</v>
      </c>
      <c r="R7" s="4">
        <v>327.7</v>
      </c>
    </row>
    <row r="8" spans="1:19" ht="43.5" customHeight="1" x14ac:dyDescent="0.35">
      <c r="A8" s="8"/>
      <c r="B8" s="3">
        <v>2240</v>
      </c>
      <c r="C8" s="85" t="s">
        <v>34</v>
      </c>
      <c r="D8" s="4">
        <v>313.7</v>
      </c>
      <c r="E8" s="7">
        <v>2</v>
      </c>
      <c r="F8" s="7">
        <v>23.9</v>
      </c>
      <c r="G8" s="7">
        <v>23.9</v>
      </c>
      <c r="H8" s="7">
        <v>118.2</v>
      </c>
      <c r="I8" s="7">
        <v>23.9</v>
      </c>
      <c r="J8" s="7">
        <v>23.9</v>
      </c>
      <c r="K8" s="7">
        <v>23.9</v>
      </c>
      <c r="L8" s="7">
        <v>23.9</v>
      </c>
      <c r="M8" s="7">
        <v>14</v>
      </c>
      <c r="N8" s="7">
        <v>14</v>
      </c>
      <c r="O8" s="7">
        <v>14</v>
      </c>
      <c r="P8" s="7">
        <v>8.1</v>
      </c>
      <c r="Q8" s="4">
        <v>658.8</v>
      </c>
      <c r="R8" s="4">
        <v>472.3</v>
      </c>
    </row>
    <row r="9" spans="1:19" ht="62.25" customHeight="1" x14ac:dyDescent="0.35">
      <c r="A9" s="8"/>
      <c r="B9" s="3">
        <v>2250</v>
      </c>
      <c r="C9" s="86" t="s">
        <v>35</v>
      </c>
      <c r="D9" s="4">
        <f t="shared" ref="D9:D16" si="0">SUM(E9:P9)</f>
        <v>20</v>
      </c>
      <c r="E9" s="7">
        <v>1.8</v>
      </c>
      <c r="F9" s="7"/>
      <c r="G9" s="7"/>
      <c r="H9" s="7">
        <v>18.2</v>
      </c>
      <c r="I9" s="7"/>
      <c r="J9" s="7"/>
      <c r="K9" s="7"/>
      <c r="L9" s="7"/>
      <c r="M9" s="7"/>
      <c r="N9" s="7"/>
      <c r="O9" s="7"/>
      <c r="P9" s="7"/>
      <c r="Q9" s="4">
        <v>20</v>
      </c>
      <c r="R9" s="4">
        <v>12.8</v>
      </c>
    </row>
    <row r="10" spans="1:19" ht="35.25" customHeight="1" x14ac:dyDescent="0.35">
      <c r="A10" s="8"/>
      <c r="B10" s="57">
        <v>2270</v>
      </c>
      <c r="C10" s="87" t="s">
        <v>39</v>
      </c>
      <c r="D10" s="58">
        <f>SUM(E10:P10)</f>
        <v>127.69999999999997</v>
      </c>
      <c r="E10" s="59">
        <f t="shared" ref="E10:P10" si="1">SUM(E11:E13)</f>
        <v>2.4</v>
      </c>
      <c r="F10" s="59">
        <f t="shared" si="1"/>
        <v>33.5</v>
      </c>
      <c r="G10" s="59">
        <f t="shared" si="1"/>
        <v>32.1</v>
      </c>
      <c r="H10" s="59">
        <f t="shared" si="1"/>
        <v>16.100000000000001</v>
      </c>
      <c r="I10" s="59">
        <f t="shared" si="1"/>
        <v>2.5</v>
      </c>
      <c r="J10" s="59">
        <f t="shared" si="1"/>
        <v>2.4</v>
      </c>
      <c r="K10" s="59">
        <f t="shared" si="1"/>
        <v>2.3000000000000003</v>
      </c>
      <c r="L10" s="59">
        <f t="shared" si="1"/>
        <v>2.3000000000000003</v>
      </c>
      <c r="M10" s="59">
        <f t="shared" si="1"/>
        <v>2.3000000000000003</v>
      </c>
      <c r="N10" s="59">
        <f t="shared" si="1"/>
        <v>10.6</v>
      </c>
      <c r="O10" s="59">
        <f t="shared" si="1"/>
        <v>10.6</v>
      </c>
      <c r="P10" s="59">
        <f t="shared" si="1"/>
        <v>10.6</v>
      </c>
      <c r="Q10" s="58">
        <f>Q11+Q12+Q13</f>
        <v>195</v>
      </c>
      <c r="R10" s="58">
        <f>R11+R12+R13</f>
        <v>79.445999999999998</v>
      </c>
      <c r="S10" s="5">
        <f>R11+R12+R13</f>
        <v>79.445999999999998</v>
      </c>
    </row>
    <row r="11" spans="1:19" ht="49.5" customHeight="1" x14ac:dyDescent="0.35">
      <c r="A11" s="8"/>
      <c r="B11" s="3">
        <v>2271</v>
      </c>
      <c r="C11" s="86" t="s">
        <v>40</v>
      </c>
      <c r="D11" s="4">
        <v>85.4</v>
      </c>
      <c r="E11" s="7"/>
      <c r="F11" s="7">
        <v>28</v>
      </c>
      <c r="G11" s="7">
        <v>18.7</v>
      </c>
      <c r="H11" s="7">
        <v>13.8</v>
      </c>
      <c r="I11" s="7"/>
      <c r="J11" s="7"/>
      <c r="K11" s="7"/>
      <c r="L11" s="7"/>
      <c r="M11" s="7"/>
      <c r="N11" s="7">
        <v>8.3000000000000007</v>
      </c>
      <c r="O11" s="7">
        <v>8.3000000000000007</v>
      </c>
      <c r="P11" s="7">
        <v>8.3000000000000007</v>
      </c>
      <c r="Q11" s="4">
        <v>150</v>
      </c>
      <c r="R11" s="4">
        <v>65.192999999999998</v>
      </c>
    </row>
    <row r="12" spans="1:19" ht="33" customHeight="1" x14ac:dyDescent="0.35">
      <c r="A12" s="8"/>
      <c r="B12" s="3">
        <v>2272</v>
      </c>
      <c r="C12" s="86" t="s">
        <v>41</v>
      </c>
      <c r="D12" s="4">
        <f t="shared" ref="D12:D13" si="2">SUM(E12:P12)</f>
        <v>3.3000000000000012</v>
      </c>
      <c r="E12" s="7">
        <v>0.3</v>
      </c>
      <c r="F12" s="7">
        <v>0.8</v>
      </c>
      <c r="G12" s="7">
        <v>0.3</v>
      </c>
      <c r="H12" s="7">
        <v>0.2</v>
      </c>
      <c r="I12" s="7">
        <v>0.2</v>
      </c>
      <c r="J12" s="7">
        <v>0.3</v>
      </c>
      <c r="K12" s="7">
        <v>0.2</v>
      </c>
      <c r="L12" s="7">
        <v>0.2</v>
      </c>
      <c r="M12" s="7">
        <v>0.2</v>
      </c>
      <c r="N12" s="7">
        <v>0.2</v>
      </c>
      <c r="O12" s="7">
        <v>0.2</v>
      </c>
      <c r="P12" s="7">
        <v>0.2</v>
      </c>
      <c r="Q12" s="4">
        <v>5</v>
      </c>
      <c r="R12" s="4">
        <v>1.865</v>
      </c>
    </row>
    <row r="13" spans="1:19" ht="27.75" customHeight="1" x14ac:dyDescent="0.35">
      <c r="A13" s="8"/>
      <c r="B13" s="3">
        <v>2273</v>
      </c>
      <c r="C13" s="86" t="s">
        <v>42</v>
      </c>
      <c r="D13" s="4">
        <f t="shared" si="2"/>
        <v>39.000000000000007</v>
      </c>
      <c r="E13" s="7">
        <v>2.1</v>
      </c>
      <c r="F13" s="7">
        <v>4.7</v>
      </c>
      <c r="G13" s="7">
        <v>13.1</v>
      </c>
      <c r="H13" s="7">
        <v>2.1</v>
      </c>
      <c r="I13" s="7">
        <v>2.2999999999999998</v>
      </c>
      <c r="J13" s="7">
        <v>2.1</v>
      </c>
      <c r="K13" s="7">
        <v>2.1</v>
      </c>
      <c r="L13" s="7">
        <v>2.1</v>
      </c>
      <c r="M13" s="7">
        <v>2.1</v>
      </c>
      <c r="N13" s="7">
        <v>2.1</v>
      </c>
      <c r="O13" s="7">
        <v>2.1</v>
      </c>
      <c r="P13" s="7">
        <v>2.1</v>
      </c>
      <c r="Q13" s="4">
        <v>40</v>
      </c>
      <c r="R13" s="4">
        <v>12.388</v>
      </c>
    </row>
    <row r="14" spans="1:19" ht="51.75" customHeight="1" x14ac:dyDescent="0.35">
      <c r="A14" s="8"/>
      <c r="B14" s="3">
        <v>2282</v>
      </c>
      <c r="C14" s="86" t="s">
        <v>45</v>
      </c>
      <c r="D14" s="4">
        <f t="shared" si="0"/>
        <v>170</v>
      </c>
      <c r="E14" s="7"/>
      <c r="F14" s="7">
        <v>86.7</v>
      </c>
      <c r="G14" s="7">
        <v>13.3</v>
      </c>
      <c r="H14" s="7">
        <v>70</v>
      </c>
      <c r="I14" s="7"/>
      <c r="J14" s="7"/>
      <c r="K14" s="7"/>
      <c r="L14" s="7"/>
      <c r="M14" s="7"/>
      <c r="N14" s="7"/>
      <c r="O14" s="7"/>
      <c r="P14" s="7"/>
      <c r="Q14" s="4">
        <v>30</v>
      </c>
      <c r="R14" s="90">
        <v>30</v>
      </c>
    </row>
    <row r="15" spans="1:19" ht="32.25" customHeight="1" x14ac:dyDescent="0.35">
      <c r="A15" s="8"/>
      <c r="B15" s="3">
        <v>2730</v>
      </c>
      <c r="C15" s="86" t="s">
        <v>46</v>
      </c>
      <c r="D15" s="4">
        <f t="shared" si="0"/>
        <v>208</v>
      </c>
      <c r="E15" s="7"/>
      <c r="F15" s="7"/>
      <c r="G15" s="7"/>
      <c r="H15" s="7">
        <v>208</v>
      </c>
      <c r="I15" s="7"/>
      <c r="J15" s="7"/>
      <c r="K15" s="7"/>
      <c r="L15" s="7"/>
      <c r="M15" s="7"/>
      <c r="N15" s="7"/>
      <c r="O15" s="7"/>
      <c r="P15" s="7"/>
      <c r="Q15" s="4">
        <v>208</v>
      </c>
      <c r="R15" s="4">
        <v>156.9</v>
      </c>
    </row>
    <row r="16" spans="1:19" ht="35.25" customHeight="1" x14ac:dyDescent="0.35">
      <c r="A16" s="8"/>
      <c r="B16" s="3">
        <v>2800</v>
      </c>
      <c r="C16" s="86" t="s">
        <v>47</v>
      </c>
      <c r="D16" s="4">
        <f t="shared" si="0"/>
        <v>8.9</v>
      </c>
      <c r="E16" s="7">
        <v>0.3</v>
      </c>
      <c r="F16" s="7">
        <v>0.7</v>
      </c>
      <c r="G16" s="7">
        <v>0.7</v>
      </c>
      <c r="H16" s="7">
        <v>0.8</v>
      </c>
      <c r="I16" s="7">
        <v>0.8</v>
      </c>
      <c r="J16" s="7">
        <v>0.8</v>
      </c>
      <c r="K16" s="7">
        <v>0.8</v>
      </c>
      <c r="L16" s="7">
        <v>0.8</v>
      </c>
      <c r="M16" s="7">
        <v>0.8</v>
      </c>
      <c r="N16" s="7">
        <v>0.8</v>
      </c>
      <c r="O16" s="7">
        <v>0.8</v>
      </c>
      <c r="P16" s="7">
        <v>0.8</v>
      </c>
      <c r="Q16" s="4">
        <v>10</v>
      </c>
      <c r="R16" s="4">
        <v>5.5</v>
      </c>
    </row>
    <row r="17" spans="1:18" x14ac:dyDescent="0.35">
      <c r="A17" s="8"/>
      <c r="B17" s="12"/>
      <c r="C17" s="12"/>
      <c r="D17" s="9">
        <f>D6+D8+D9+D10+D14+D15+D16+D7</f>
        <v>5962.1999999999989</v>
      </c>
      <c r="E17" s="9">
        <f t="shared" ref="E17:Q17" si="3">E6+E8+E9+E10+E14+E15+E16+E7</f>
        <v>5038.5</v>
      </c>
      <c r="F17" s="9">
        <f t="shared" si="3"/>
        <v>5176.7999999999993</v>
      </c>
      <c r="G17" s="9">
        <f t="shared" si="3"/>
        <v>5102</v>
      </c>
      <c r="H17" s="9">
        <f t="shared" si="3"/>
        <v>5463.3</v>
      </c>
      <c r="I17" s="9">
        <f t="shared" si="3"/>
        <v>5059.2</v>
      </c>
      <c r="J17" s="9">
        <f t="shared" si="3"/>
        <v>5059.0999999999995</v>
      </c>
      <c r="K17" s="9">
        <f t="shared" si="3"/>
        <v>5059</v>
      </c>
      <c r="L17" s="9">
        <f t="shared" si="3"/>
        <v>5059</v>
      </c>
      <c r="M17" s="9">
        <f t="shared" si="3"/>
        <v>5049.1000000000004</v>
      </c>
      <c r="N17" s="9">
        <f t="shared" si="3"/>
        <v>5057.4000000000005</v>
      </c>
      <c r="O17" s="9">
        <f t="shared" si="3"/>
        <v>5057.4000000000005</v>
      </c>
      <c r="P17" s="9">
        <f t="shared" si="3"/>
        <v>5051.5000000000009</v>
      </c>
      <c r="Q17" s="9">
        <f t="shared" si="3"/>
        <v>7182.1</v>
      </c>
      <c r="R17" s="81">
        <f>R6+R7+R8+R9+R10+R14+R15+R16</f>
        <v>5153.3519999999999</v>
      </c>
    </row>
    <row r="18" spans="1:18" x14ac:dyDescent="0.35">
      <c r="B18" s="22"/>
      <c r="C18" s="22"/>
      <c r="D18" s="22"/>
    </row>
    <row r="19" spans="1:18" x14ac:dyDescent="0.35">
      <c r="B19" s="22"/>
      <c r="C19" s="22"/>
      <c r="D19" s="22"/>
    </row>
    <row r="20" spans="1:18" x14ac:dyDescent="0.35">
      <c r="B20" s="22"/>
      <c r="C20" s="22"/>
      <c r="D20" s="22"/>
    </row>
    <row r="21" spans="1:18" x14ac:dyDescent="0.35">
      <c r="B21" s="22"/>
      <c r="C21" s="22"/>
      <c r="D21" s="22"/>
    </row>
    <row r="22" spans="1:18" x14ac:dyDescent="0.35">
      <c r="B22" s="22"/>
      <c r="C22" s="22"/>
      <c r="D22" s="22"/>
    </row>
    <row r="23" spans="1:18" x14ac:dyDescent="0.35">
      <c r="B23" s="22"/>
      <c r="C23" s="22"/>
      <c r="D23" s="22"/>
    </row>
    <row r="24" spans="1:18" x14ac:dyDescent="0.35">
      <c r="B24" s="22"/>
      <c r="C24" s="22"/>
      <c r="D24" s="22"/>
    </row>
    <row r="25" spans="1:18" x14ac:dyDescent="0.35">
      <c r="B25" s="22"/>
      <c r="C25" s="22"/>
      <c r="D25" s="22"/>
    </row>
    <row r="26" spans="1:18" x14ac:dyDescent="0.35">
      <c r="B26" s="22"/>
      <c r="C26" s="22"/>
      <c r="D26" s="22"/>
    </row>
    <row r="27" spans="1:18" x14ac:dyDescent="0.35">
      <c r="B27" s="22"/>
      <c r="C27" s="22"/>
      <c r="D27" s="22"/>
    </row>
    <row r="28" spans="1:18" x14ac:dyDescent="0.35">
      <c r="B28" s="22"/>
      <c r="C28" s="22"/>
      <c r="D28" s="22"/>
    </row>
    <row r="29" spans="1:18" x14ac:dyDescent="0.35">
      <c r="B29" s="22"/>
      <c r="C29" s="22"/>
      <c r="D29" s="22"/>
    </row>
    <row r="30" spans="1:18" x14ac:dyDescent="0.35">
      <c r="B30" s="22"/>
      <c r="C30" s="22"/>
      <c r="D30" s="22"/>
    </row>
    <row r="31" spans="1:18" x14ac:dyDescent="0.35">
      <c r="B31" s="22"/>
      <c r="C31" s="22"/>
      <c r="D31" s="22"/>
    </row>
    <row r="32" spans="1:18" x14ac:dyDescent="0.35">
      <c r="B32" s="22"/>
      <c r="C32" s="22"/>
      <c r="D32" s="22"/>
    </row>
    <row r="33" spans="2:4" x14ac:dyDescent="0.35">
      <c r="B33" s="22"/>
      <c r="C33" s="22"/>
      <c r="D33" s="22"/>
    </row>
    <row r="34" spans="2:4" x14ac:dyDescent="0.35">
      <c r="B34" s="22"/>
      <c r="C34" s="22"/>
      <c r="D34" s="22"/>
    </row>
    <row r="35" spans="2:4" x14ac:dyDescent="0.35">
      <c r="B35" s="22"/>
      <c r="C35" s="22"/>
      <c r="D35" s="22"/>
    </row>
    <row r="36" spans="2:4" x14ac:dyDescent="0.35">
      <c r="B36" s="22"/>
      <c r="C36" s="22"/>
      <c r="D36" s="22"/>
    </row>
    <row r="37" spans="2:4" x14ac:dyDescent="0.35">
      <c r="B37" s="22"/>
      <c r="C37" s="22"/>
      <c r="D37" s="22"/>
    </row>
    <row r="38" spans="2:4" x14ac:dyDescent="0.35">
      <c r="B38" s="22"/>
      <c r="C38" s="22"/>
      <c r="D38" s="22"/>
    </row>
    <row r="39" spans="2:4" x14ac:dyDescent="0.35">
      <c r="B39" s="22"/>
      <c r="C39" s="22"/>
      <c r="D39" s="22"/>
    </row>
    <row r="40" spans="2:4" x14ac:dyDescent="0.35">
      <c r="B40" s="22"/>
      <c r="C40" s="22"/>
      <c r="D40" s="22"/>
    </row>
    <row r="41" spans="2:4" x14ac:dyDescent="0.35">
      <c r="B41" s="22"/>
      <c r="C41" s="22"/>
      <c r="D41" s="22"/>
    </row>
    <row r="42" spans="2:4" x14ac:dyDescent="0.35">
      <c r="B42" s="22"/>
      <c r="C42" s="22"/>
      <c r="D42" s="22"/>
    </row>
    <row r="43" spans="2:4" x14ac:dyDescent="0.35">
      <c r="B43" s="22"/>
      <c r="C43" s="22"/>
      <c r="D43" s="22"/>
    </row>
    <row r="44" spans="2:4" x14ac:dyDescent="0.35">
      <c r="B44" s="22"/>
      <c r="C44" s="22"/>
      <c r="D44" s="22"/>
    </row>
    <row r="45" spans="2:4" x14ac:dyDescent="0.35">
      <c r="B45" s="22"/>
      <c r="C45" s="22"/>
      <c r="D45" s="22"/>
    </row>
    <row r="46" spans="2:4" x14ac:dyDescent="0.35">
      <c r="B46" s="22"/>
      <c r="C46" s="22"/>
      <c r="D46" s="22"/>
    </row>
    <row r="47" spans="2:4" x14ac:dyDescent="0.35">
      <c r="B47" s="22"/>
      <c r="C47" s="22"/>
      <c r="D47" s="22"/>
    </row>
    <row r="48" spans="2:4" x14ac:dyDescent="0.35">
      <c r="B48" s="22"/>
      <c r="C48" s="22"/>
      <c r="D48" s="22"/>
    </row>
    <row r="49" spans="2:4" x14ac:dyDescent="0.35">
      <c r="B49" s="22"/>
      <c r="C49" s="22"/>
      <c r="D49" s="22"/>
    </row>
    <row r="50" spans="2:4" x14ac:dyDescent="0.35">
      <c r="B50" s="22"/>
      <c r="C50" s="22"/>
      <c r="D50" s="22"/>
    </row>
    <row r="51" spans="2:4" x14ac:dyDescent="0.35">
      <c r="B51" s="22"/>
      <c r="C51" s="22"/>
      <c r="D51" s="22"/>
    </row>
    <row r="52" spans="2:4" x14ac:dyDescent="0.35">
      <c r="B52" s="22"/>
      <c r="C52" s="22"/>
      <c r="D52" s="22"/>
    </row>
    <row r="53" spans="2:4" x14ac:dyDescent="0.35">
      <c r="B53" s="22"/>
      <c r="C53" s="22"/>
      <c r="D53" s="22"/>
    </row>
    <row r="54" spans="2:4" x14ac:dyDescent="0.35">
      <c r="B54" s="22"/>
      <c r="C54" s="22"/>
      <c r="D54" s="22"/>
    </row>
    <row r="55" spans="2:4" x14ac:dyDescent="0.35">
      <c r="B55" s="22"/>
      <c r="C55" s="22"/>
      <c r="D55" s="22"/>
    </row>
    <row r="56" spans="2:4" x14ac:dyDescent="0.35">
      <c r="B56" s="22"/>
      <c r="C56" s="22"/>
      <c r="D56" s="22"/>
    </row>
    <row r="57" spans="2:4" x14ac:dyDescent="0.35">
      <c r="B57" s="22"/>
      <c r="C57" s="22"/>
      <c r="D57" s="22"/>
    </row>
    <row r="58" spans="2:4" x14ac:dyDescent="0.35">
      <c r="B58" s="22"/>
      <c r="C58" s="22"/>
      <c r="D58" s="22"/>
    </row>
    <row r="59" spans="2:4" x14ac:dyDescent="0.35">
      <c r="B59" s="22"/>
      <c r="C59" s="22"/>
      <c r="D59" s="22"/>
    </row>
    <row r="60" spans="2:4" x14ac:dyDescent="0.35">
      <c r="B60" s="22"/>
      <c r="C60" s="22"/>
      <c r="D60" s="22"/>
    </row>
    <row r="61" spans="2:4" x14ac:dyDescent="0.35">
      <c r="B61" s="22"/>
      <c r="C61" s="22"/>
      <c r="D61" s="22"/>
    </row>
    <row r="62" spans="2:4" x14ac:dyDescent="0.35">
      <c r="B62" s="22"/>
      <c r="C62" s="22"/>
      <c r="D62" s="22"/>
    </row>
    <row r="63" spans="2:4" x14ac:dyDescent="0.35">
      <c r="B63" s="22"/>
      <c r="C63" s="22"/>
      <c r="D63" s="22"/>
    </row>
    <row r="64" spans="2:4" x14ac:dyDescent="0.35">
      <c r="B64" s="22"/>
      <c r="C64" s="22"/>
      <c r="D64" s="22"/>
    </row>
    <row r="65" spans="2:4" x14ac:dyDescent="0.35">
      <c r="B65" s="22"/>
      <c r="C65" s="22"/>
      <c r="D65" s="22"/>
    </row>
    <row r="66" spans="2:4" x14ac:dyDescent="0.35">
      <c r="B66" s="22"/>
      <c r="C66" s="22"/>
      <c r="D66" s="22"/>
    </row>
    <row r="67" spans="2:4" x14ac:dyDescent="0.35">
      <c r="B67" s="22"/>
      <c r="C67" s="22"/>
      <c r="D67" s="22"/>
    </row>
    <row r="68" spans="2:4" x14ac:dyDescent="0.35">
      <c r="B68" s="22"/>
      <c r="C68" s="22"/>
      <c r="D68" s="22"/>
    </row>
    <row r="69" spans="2:4" x14ac:dyDescent="0.35">
      <c r="B69" s="22"/>
      <c r="C69" s="22"/>
      <c r="D69" s="22"/>
    </row>
    <row r="70" spans="2:4" x14ac:dyDescent="0.35">
      <c r="B70" s="22"/>
      <c r="C70" s="22"/>
      <c r="D70" s="22"/>
    </row>
    <row r="71" spans="2:4" x14ac:dyDescent="0.35">
      <c r="B71" s="22"/>
      <c r="C71" s="22"/>
      <c r="D71" s="22"/>
    </row>
    <row r="72" spans="2:4" x14ac:dyDescent="0.35">
      <c r="B72" s="22"/>
      <c r="C72" s="22"/>
      <c r="D72" s="22"/>
    </row>
    <row r="73" spans="2:4" x14ac:dyDescent="0.35">
      <c r="B73" s="22"/>
      <c r="C73" s="22"/>
      <c r="D73" s="22"/>
    </row>
    <row r="74" spans="2:4" x14ac:dyDescent="0.35">
      <c r="B74" s="22"/>
      <c r="C74" s="22"/>
      <c r="D74" s="22"/>
    </row>
    <row r="75" spans="2:4" x14ac:dyDescent="0.35">
      <c r="B75" s="22"/>
      <c r="C75" s="22"/>
      <c r="D75" s="22"/>
    </row>
    <row r="76" spans="2:4" x14ac:dyDescent="0.35">
      <c r="B76" s="22"/>
      <c r="C76" s="22"/>
      <c r="D76" s="22"/>
    </row>
    <row r="77" spans="2:4" x14ac:dyDescent="0.35">
      <c r="B77" s="22"/>
      <c r="C77" s="22"/>
      <c r="D77" s="22"/>
    </row>
    <row r="78" spans="2:4" x14ac:dyDescent="0.35">
      <c r="B78" s="22"/>
      <c r="C78" s="22"/>
      <c r="D78" s="22"/>
    </row>
    <row r="79" spans="2:4" x14ac:dyDescent="0.35">
      <c r="B79" s="22"/>
      <c r="C79" s="22"/>
      <c r="D79" s="22"/>
    </row>
    <row r="80" spans="2:4" x14ac:dyDescent="0.35">
      <c r="B80" s="22"/>
      <c r="C80" s="22"/>
      <c r="D80" s="22"/>
    </row>
    <row r="81" spans="2:4" x14ac:dyDescent="0.35">
      <c r="B81" s="22"/>
      <c r="C81" s="22"/>
      <c r="D81" s="22"/>
    </row>
    <row r="82" spans="2:4" x14ac:dyDescent="0.35">
      <c r="B82" s="22"/>
      <c r="C82" s="22"/>
      <c r="D82" s="22"/>
    </row>
    <row r="83" spans="2:4" x14ac:dyDescent="0.35">
      <c r="B83" s="22"/>
      <c r="C83" s="22"/>
      <c r="D83" s="22"/>
    </row>
    <row r="84" spans="2:4" x14ac:dyDescent="0.35">
      <c r="B84" s="22"/>
      <c r="C84" s="22"/>
      <c r="D84" s="22"/>
    </row>
    <row r="85" spans="2:4" x14ac:dyDescent="0.35">
      <c r="B85" s="22"/>
      <c r="C85" s="22"/>
      <c r="D85" s="22"/>
    </row>
    <row r="86" spans="2:4" x14ac:dyDescent="0.35">
      <c r="B86" s="22"/>
      <c r="C86" s="22"/>
      <c r="D86" s="22"/>
    </row>
    <row r="87" spans="2:4" x14ac:dyDescent="0.35">
      <c r="B87" s="22"/>
      <c r="C87" s="22"/>
      <c r="D87" s="22"/>
    </row>
    <row r="88" spans="2:4" x14ac:dyDescent="0.35">
      <c r="B88" s="22"/>
      <c r="C88" s="22"/>
      <c r="D88" s="22"/>
    </row>
    <row r="89" spans="2:4" x14ac:dyDescent="0.35">
      <c r="B89" s="22"/>
      <c r="C89" s="22"/>
      <c r="D89" s="22"/>
    </row>
    <row r="90" spans="2:4" x14ac:dyDescent="0.35">
      <c r="B90" s="22"/>
      <c r="C90" s="22"/>
    </row>
  </sheetData>
  <mergeCells count="3">
    <mergeCell ref="A1:R1"/>
    <mergeCell ref="A2:R2"/>
    <mergeCell ref="A3:R3"/>
  </mergeCells>
  <pageMargins left="0.9055118110236221" right="0.7086614173228347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88"/>
  <sheetViews>
    <sheetView zoomScaleNormal="100" workbookViewId="0">
      <selection activeCell="C6" sqref="C6"/>
    </sheetView>
  </sheetViews>
  <sheetFormatPr defaultColWidth="9.109375" defaultRowHeight="18" x14ac:dyDescent="0.35"/>
  <cols>
    <col min="1" max="1" width="9.33203125" style="1" customWidth="1"/>
    <col min="2" max="2" width="13.109375" style="1" customWidth="1"/>
    <col min="3" max="3" width="24.44140625" style="82" customWidth="1"/>
    <col min="4" max="4" width="13.5546875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4" style="1" customWidth="1"/>
    <col min="17" max="17" width="21.109375" style="1" customWidth="1"/>
    <col min="18" max="16384" width="9.109375" style="1"/>
  </cols>
  <sheetData>
    <row r="1" spans="1:18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18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x14ac:dyDescent="0.35">
      <c r="A3" s="101" t="s">
        <v>75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8" x14ac:dyDescent="0.35">
      <c r="D4" s="23"/>
      <c r="Q4" s="23" t="s">
        <v>27</v>
      </c>
    </row>
    <row r="5" spans="1:18" ht="38.25" customHeight="1" x14ac:dyDescent="0.35">
      <c r="A5" s="3" t="s">
        <v>0</v>
      </c>
      <c r="B5" s="3" t="s">
        <v>1</v>
      </c>
      <c r="C5" s="83" t="s">
        <v>32</v>
      </c>
      <c r="D5" s="31" t="s">
        <v>38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72</v>
      </c>
      <c r="Q5" s="18" t="s">
        <v>51</v>
      </c>
    </row>
    <row r="6" spans="1:18" ht="39.75" customHeight="1" x14ac:dyDescent="0.35">
      <c r="A6" s="6">
        <v>70401</v>
      </c>
      <c r="B6" s="51" t="s">
        <v>69</v>
      </c>
      <c r="C6" s="95" t="s">
        <v>70</v>
      </c>
      <c r="D6" s="4">
        <v>20122.2</v>
      </c>
      <c r="E6" s="15">
        <v>934.1</v>
      </c>
      <c r="F6" s="7">
        <v>1329.2</v>
      </c>
      <c r="G6" s="7">
        <v>1150</v>
      </c>
      <c r="H6" s="7">
        <v>1150</v>
      </c>
      <c r="I6" s="7">
        <v>1150</v>
      </c>
      <c r="J6" s="7">
        <v>1550</v>
      </c>
      <c r="K6" s="7">
        <v>1550</v>
      </c>
      <c r="L6" s="7">
        <v>800</v>
      </c>
      <c r="M6" s="7">
        <v>1380</v>
      </c>
      <c r="N6" s="7">
        <v>1270</v>
      </c>
      <c r="O6" s="7">
        <v>1270</v>
      </c>
      <c r="P6" s="4">
        <f>1476.4+324.8</f>
        <v>1801.2</v>
      </c>
      <c r="Q6" s="4">
        <f>1048.57+230.7</f>
        <v>1279.27</v>
      </c>
    </row>
    <row r="7" spans="1:18" ht="32.25" customHeight="1" x14ac:dyDescent="0.35">
      <c r="A7" s="8"/>
      <c r="B7" s="3">
        <v>2210</v>
      </c>
      <c r="C7" s="96" t="s">
        <v>33</v>
      </c>
      <c r="D7" s="4">
        <f>SUM(E7:O7)</f>
        <v>149.10000000000002</v>
      </c>
      <c r="E7" s="7">
        <v>5</v>
      </c>
      <c r="F7" s="7">
        <v>2.7</v>
      </c>
      <c r="G7" s="7">
        <v>50</v>
      </c>
      <c r="H7" s="7">
        <v>45</v>
      </c>
      <c r="I7" s="7">
        <v>12.4</v>
      </c>
      <c r="J7" s="7">
        <v>2</v>
      </c>
      <c r="K7" s="7">
        <v>2</v>
      </c>
      <c r="L7" s="7">
        <v>2</v>
      </c>
      <c r="M7" s="7">
        <v>20</v>
      </c>
      <c r="N7" s="7">
        <v>4</v>
      </c>
      <c r="O7" s="7">
        <v>4</v>
      </c>
      <c r="P7" s="4">
        <v>52.9</v>
      </c>
      <c r="Q7" s="4">
        <v>26.6</v>
      </c>
    </row>
    <row r="8" spans="1:18" ht="30.75" customHeight="1" x14ac:dyDescent="0.35">
      <c r="A8" s="8"/>
      <c r="B8" s="3">
        <v>2240</v>
      </c>
      <c r="C8" s="96" t="s">
        <v>34</v>
      </c>
      <c r="D8" s="4">
        <f>SUM(E8:O8)</f>
        <v>408.90000000000003</v>
      </c>
      <c r="E8" s="7">
        <v>160</v>
      </c>
      <c r="F8" s="7">
        <v>17.8</v>
      </c>
      <c r="G8" s="7">
        <v>17.8</v>
      </c>
      <c r="H8" s="7">
        <v>75</v>
      </c>
      <c r="I8" s="7">
        <v>28.3</v>
      </c>
      <c r="J8" s="7">
        <v>55</v>
      </c>
      <c r="K8" s="7">
        <v>5</v>
      </c>
      <c r="L8" s="7">
        <v>5</v>
      </c>
      <c r="M8" s="7">
        <v>25</v>
      </c>
      <c r="N8" s="7">
        <v>5</v>
      </c>
      <c r="O8" s="7">
        <v>15</v>
      </c>
      <c r="P8" s="4">
        <v>127.3</v>
      </c>
      <c r="Q8" s="4">
        <v>67.98</v>
      </c>
    </row>
    <row r="9" spans="1:18" ht="23.25" customHeight="1" x14ac:dyDescent="0.35">
      <c r="A9" s="8"/>
      <c r="B9" s="3">
        <v>2250</v>
      </c>
      <c r="C9" s="97" t="s">
        <v>44</v>
      </c>
      <c r="D9" s="4">
        <f>SUM(E9:O9)</f>
        <v>184.8</v>
      </c>
      <c r="E9" s="7"/>
      <c r="F9" s="7">
        <v>16.600000000000001</v>
      </c>
      <c r="G9" s="7">
        <v>33.200000000000003</v>
      </c>
      <c r="H9" s="7">
        <v>15</v>
      </c>
      <c r="I9" s="7">
        <v>15</v>
      </c>
      <c r="J9" s="7">
        <v>15</v>
      </c>
      <c r="K9" s="7">
        <v>15</v>
      </c>
      <c r="L9" s="7">
        <v>15</v>
      </c>
      <c r="M9" s="7">
        <v>20</v>
      </c>
      <c r="N9" s="7">
        <v>20</v>
      </c>
      <c r="O9" s="7">
        <v>20</v>
      </c>
      <c r="P9" s="4">
        <v>0</v>
      </c>
      <c r="Q9" s="4">
        <v>0</v>
      </c>
    </row>
    <row r="10" spans="1:18" ht="30.75" customHeight="1" x14ac:dyDescent="0.35">
      <c r="A10" s="8"/>
      <c r="B10" s="57">
        <v>2270</v>
      </c>
      <c r="C10" s="98" t="s">
        <v>35</v>
      </c>
      <c r="D10" s="58">
        <f>SUM(D11:D13)</f>
        <v>1609.1</v>
      </c>
      <c r="E10" s="58">
        <f t="shared" ref="E10:P10" si="0">SUM(E11:E13)</f>
        <v>97.6</v>
      </c>
      <c r="F10" s="58">
        <f t="shared" si="0"/>
        <v>722.4</v>
      </c>
      <c r="G10" s="58">
        <f t="shared" si="0"/>
        <v>547.5</v>
      </c>
      <c r="H10" s="58">
        <f t="shared" si="0"/>
        <v>31.5</v>
      </c>
      <c r="I10" s="58">
        <f t="shared" si="0"/>
        <v>41</v>
      </c>
      <c r="J10" s="58">
        <f t="shared" si="0"/>
        <v>35</v>
      </c>
      <c r="K10" s="58">
        <f t="shared" si="0"/>
        <v>31.5</v>
      </c>
      <c r="L10" s="58">
        <f t="shared" si="0"/>
        <v>21.3</v>
      </c>
      <c r="M10" s="58">
        <f t="shared" si="0"/>
        <v>21.4</v>
      </c>
      <c r="N10" s="58">
        <f t="shared" si="0"/>
        <v>22</v>
      </c>
      <c r="O10" s="58">
        <f t="shared" si="0"/>
        <v>37.9</v>
      </c>
      <c r="P10" s="58">
        <f t="shared" si="0"/>
        <v>103</v>
      </c>
      <c r="Q10" s="58">
        <f>Q11+Q12+Q13</f>
        <v>60.344999999999999</v>
      </c>
      <c r="R10" s="5">
        <f>Q11+Q12+Q13</f>
        <v>60.344999999999999</v>
      </c>
    </row>
    <row r="11" spans="1:18" ht="29.25" customHeight="1" x14ac:dyDescent="0.35">
      <c r="A11" s="8"/>
      <c r="B11" s="3">
        <v>2271</v>
      </c>
      <c r="C11" s="97" t="s">
        <v>39</v>
      </c>
      <c r="D11" s="4">
        <f>SUM(E11:O11)</f>
        <v>1135.5</v>
      </c>
      <c r="E11" s="7">
        <v>44.3</v>
      </c>
      <c r="F11" s="7">
        <v>634.5</v>
      </c>
      <c r="G11" s="7">
        <v>456.7</v>
      </c>
      <c r="H11" s="7"/>
      <c r="I11" s="7"/>
      <c r="J11" s="7"/>
      <c r="K11" s="7"/>
      <c r="L11" s="7"/>
      <c r="M11" s="7"/>
      <c r="N11" s="7"/>
      <c r="O11" s="7"/>
      <c r="P11" s="4">
        <v>70</v>
      </c>
      <c r="Q11" s="4">
        <v>41.5</v>
      </c>
    </row>
    <row r="12" spans="1:18" ht="32.25" customHeight="1" x14ac:dyDescent="0.35">
      <c r="A12" s="8"/>
      <c r="B12" s="3">
        <v>2272</v>
      </c>
      <c r="C12" s="97" t="s">
        <v>40</v>
      </c>
      <c r="D12" s="4">
        <f>SUM(E12:O12)</f>
        <v>28.7</v>
      </c>
      <c r="E12" s="7">
        <v>2.9</v>
      </c>
      <c r="F12" s="7">
        <v>7.3</v>
      </c>
      <c r="G12" s="7">
        <v>6</v>
      </c>
      <c r="H12" s="7">
        <v>1.3</v>
      </c>
      <c r="I12" s="7">
        <v>1</v>
      </c>
      <c r="J12" s="7">
        <v>2</v>
      </c>
      <c r="K12" s="7">
        <v>1.5</v>
      </c>
      <c r="L12" s="7">
        <v>1.3</v>
      </c>
      <c r="M12" s="7">
        <v>1.4</v>
      </c>
      <c r="N12" s="7">
        <v>2</v>
      </c>
      <c r="O12" s="7">
        <v>2</v>
      </c>
      <c r="P12" s="4">
        <v>10</v>
      </c>
      <c r="Q12" s="4">
        <v>3.4049999999999998</v>
      </c>
    </row>
    <row r="13" spans="1:18" ht="22.5" customHeight="1" x14ac:dyDescent="0.35">
      <c r="A13" s="8"/>
      <c r="B13" s="3">
        <v>2273</v>
      </c>
      <c r="C13" s="97" t="s">
        <v>41</v>
      </c>
      <c r="D13" s="4">
        <f>SUM(E13:O13)</f>
        <v>444.9</v>
      </c>
      <c r="E13" s="7">
        <v>50.4</v>
      </c>
      <c r="F13" s="7">
        <v>80.599999999999994</v>
      </c>
      <c r="G13" s="7">
        <v>84.8</v>
      </c>
      <c r="H13" s="7">
        <v>30.2</v>
      </c>
      <c r="I13" s="7">
        <v>40</v>
      </c>
      <c r="J13" s="7">
        <v>33</v>
      </c>
      <c r="K13" s="7">
        <v>30</v>
      </c>
      <c r="L13" s="7">
        <v>20</v>
      </c>
      <c r="M13" s="7">
        <v>20</v>
      </c>
      <c r="N13" s="7">
        <v>20</v>
      </c>
      <c r="O13" s="7">
        <v>35.9</v>
      </c>
      <c r="P13" s="4">
        <v>23</v>
      </c>
      <c r="Q13" s="4">
        <v>15.44</v>
      </c>
    </row>
    <row r="14" spans="1:18" ht="45" customHeight="1" x14ac:dyDescent="0.35">
      <c r="A14" s="8"/>
      <c r="B14" s="3">
        <v>2282</v>
      </c>
      <c r="C14" s="97" t="s">
        <v>45</v>
      </c>
      <c r="D14" s="4">
        <f>SUM(E14:O14)</f>
        <v>130</v>
      </c>
      <c r="E14" s="7"/>
      <c r="F14" s="7">
        <v>8</v>
      </c>
      <c r="G14" s="7">
        <v>25</v>
      </c>
      <c r="H14" s="7">
        <v>15</v>
      </c>
      <c r="I14" s="7"/>
      <c r="J14" s="7"/>
      <c r="K14" s="7"/>
      <c r="L14" s="7"/>
      <c r="M14" s="7"/>
      <c r="N14" s="7">
        <v>32</v>
      </c>
      <c r="O14" s="7">
        <v>50</v>
      </c>
      <c r="P14" s="4">
        <v>0</v>
      </c>
      <c r="Q14" s="4">
        <v>0</v>
      </c>
    </row>
    <row r="15" spans="1:18" x14ac:dyDescent="0.35">
      <c r="A15" s="8"/>
      <c r="B15" s="12"/>
      <c r="C15" s="88"/>
      <c r="D15" s="9">
        <f>D6+D7+D8+D9+D10+D14</f>
        <v>22604.1</v>
      </c>
      <c r="E15" s="9">
        <f t="shared" ref="E15:Q15" si="1">E6+E7+E8+E9+E10+E14</f>
        <v>1196.6999999999998</v>
      </c>
      <c r="F15" s="9">
        <f t="shared" si="1"/>
        <v>2096.6999999999998</v>
      </c>
      <c r="G15" s="9">
        <f t="shared" si="1"/>
        <v>1823.5</v>
      </c>
      <c r="H15" s="9">
        <f t="shared" si="1"/>
        <v>1331.5</v>
      </c>
      <c r="I15" s="9">
        <f t="shared" si="1"/>
        <v>1246.7</v>
      </c>
      <c r="J15" s="9">
        <f t="shared" si="1"/>
        <v>1657</v>
      </c>
      <c r="K15" s="9">
        <f t="shared" si="1"/>
        <v>1603.5</v>
      </c>
      <c r="L15" s="9">
        <f t="shared" si="1"/>
        <v>843.3</v>
      </c>
      <c r="M15" s="9">
        <f t="shared" si="1"/>
        <v>1466.4</v>
      </c>
      <c r="N15" s="9">
        <f t="shared" si="1"/>
        <v>1353</v>
      </c>
      <c r="O15" s="9">
        <f t="shared" si="1"/>
        <v>1396.9</v>
      </c>
      <c r="P15" s="9">
        <f t="shared" si="1"/>
        <v>2084.4</v>
      </c>
      <c r="Q15" s="81">
        <f t="shared" si="1"/>
        <v>1434.1949999999999</v>
      </c>
    </row>
    <row r="16" spans="1:18" x14ac:dyDescent="0.35">
      <c r="B16" s="93"/>
      <c r="D16" s="93"/>
    </row>
    <row r="17" spans="2:4" x14ac:dyDescent="0.35">
      <c r="B17" s="93"/>
      <c r="D17" s="93"/>
    </row>
    <row r="18" spans="2:4" x14ac:dyDescent="0.35">
      <c r="B18" s="93"/>
      <c r="D18" s="93"/>
    </row>
    <row r="19" spans="2:4" x14ac:dyDescent="0.35">
      <c r="B19" s="93"/>
      <c r="D19" s="93"/>
    </row>
    <row r="20" spans="2:4" x14ac:dyDescent="0.35">
      <c r="B20" s="93"/>
      <c r="D20" s="93"/>
    </row>
    <row r="21" spans="2:4" x14ac:dyDescent="0.35">
      <c r="B21" s="93"/>
      <c r="D21" s="93"/>
    </row>
    <row r="22" spans="2:4" x14ac:dyDescent="0.35">
      <c r="B22" s="93"/>
      <c r="D22" s="93"/>
    </row>
    <row r="23" spans="2:4" x14ac:dyDescent="0.35">
      <c r="B23" s="93"/>
      <c r="D23" s="93"/>
    </row>
    <row r="24" spans="2:4" x14ac:dyDescent="0.35">
      <c r="B24" s="93"/>
      <c r="D24" s="93"/>
    </row>
    <row r="25" spans="2:4" x14ac:dyDescent="0.35">
      <c r="B25" s="93"/>
      <c r="D25" s="93"/>
    </row>
    <row r="26" spans="2:4" x14ac:dyDescent="0.35">
      <c r="B26" s="93"/>
      <c r="D26" s="93"/>
    </row>
    <row r="27" spans="2:4" x14ac:dyDescent="0.35">
      <c r="B27" s="93"/>
      <c r="D27" s="93"/>
    </row>
    <row r="28" spans="2:4" x14ac:dyDescent="0.35">
      <c r="B28" s="93"/>
      <c r="D28" s="93"/>
    </row>
    <row r="29" spans="2:4" x14ac:dyDescent="0.35">
      <c r="B29" s="93"/>
      <c r="D29" s="93"/>
    </row>
    <row r="30" spans="2:4" x14ac:dyDescent="0.35">
      <c r="B30" s="93"/>
      <c r="D30" s="93"/>
    </row>
    <row r="31" spans="2:4" x14ac:dyDescent="0.35">
      <c r="B31" s="93"/>
      <c r="D31" s="93"/>
    </row>
    <row r="32" spans="2:4" x14ac:dyDescent="0.35">
      <c r="B32" s="93"/>
      <c r="D32" s="93"/>
    </row>
    <row r="33" spans="2:4" x14ac:dyDescent="0.35">
      <c r="B33" s="93"/>
      <c r="D33" s="93"/>
    </row>
    <row r="34" spans="2:4" x14ac:dyDescent="0.35">
      <c r="B34" s="93"/>
      <c r="D34" s="93"/>
    </row>
    <row r="35" spans="2:4" x14ac:dyDescent="0.35">
      <c r="B35" s="93"/>
      <c r="D35" s="93"/>
    </row>
    <row r="36" spans="2:4" x14ac:dyDescent="0.35">
      <c r="B36" s="93"/>
      <c r="D36" s="93"/>
    </row>
    <row r="37" spans="2:4" x14ac:dyDescent="0.35">
      <c r="B37" s="93"/>
      <c r="D37" s="93"/>
    </row>
    <row r="38" spans="2:4" x14ac:dyDescent="0.35">
      <c r="B38" s="93"/>
      <c r="D38" s="93"/>
    </row>
    <row r="39" spans="2:4" x14ac:dyDescent="0.35">
      <c r="B39" s="93"/>
      <c r="D39" s="93"/>
    </row>
    <row r="40" spans="2:4" x14ac:dyDescent="0.35">
      <c r="B40" s="93"/>
      <c r="D40" s="93"/>
    </row>
    <row r="41" spans="2:4" x14ac:dyDescent="0.35">
      <c r="B41" s="93"/>
      <c r="D41" s="93"/>
    </row>
    <row r="42" spans="2:4" x14ac:dyDescent="0.35">
      <c r="B42" s="93"/>
      <c r="D42" s="93"/>
    </row>
    <row r="43" spans="2:4" x14ac:dyDescent="0.35">
      <c r="B43" s="93"/>
      <c r="D43" s="93"/>
    </row>
    <row r="44" spans="2:4" x14ac:dyDescent="0.35">
      <c r="B44" s="93"/>
      <c r="D44" s="93"/>
    </row>
    <row r="45" spans="2:4" x14ac:dyDescent="0.35">
      <c r="B45" s="93"/>
      <c r="D45" s="93"/>
    </row>
    <row r="46" spans="2:4" x14ac:dyDescent="0.35">
      <c r="B46" s="93"/>
      <c r="D46" s="93"/>
    </row>
    <row r="47" spans="2:4" x14ac:dyDescent="0.35">
      <c r="B47" s="93"/>
      <c r="D47" s="93"/>
    </row>
    <row r="48" spans="2:4" x14ac:dyDescent="0.35">
      <c r="B48" s="93"/>
      <c r="D48" s="93"/>
    </row>
    <row r="49" spans="2:4" x14ac:dyDescent="0.35">
      <c r="B49" s="93"/>
      <c r="D49" s="93"/>
    </row>
    <row r="50" spans="2:4" x14ac:dyDescent="0.35">
      <c r="B50" s="93"/>
      <c r="D50" s="93"/>
    </row>
    <row r="51" spans="2:4" x14ac:dyDescent="0.35">
      <c r="B51" s="93"/>
      <c r="D51" s="93"/>
    </row>
    <row r="52" spans="2:4" x14ac:dyDescent="0.35">
      <c r="B52" s="93"/>
      <c r="D52" s="93"/>
    </row>
    <row r="53" spans="2:4" x14ac:dyDescent="0.35">
      <c r="B53" s="93"/>
      <c r="D53" s="93"/>
    </row>
    <row r="54" spans="2:4" x14ac:dyDescent="0.35">
      <c r="B54" s="93"/>
      <c r="D54" s="93"/>
    </row>
    <row r="55" spans="2:4" x14ac:dyDescent="0.35">
      <c r="B55" s="93"/>
      <c r="D55" s="93"/>
    </row>
    <row r="56" spans="2:4" x14ac:dyDescent="0.35">
      <c r="B56" s="93"/>
      <c r="D56" s="93"/>
    </row>
    <row r="57" spans="2:4" x14ac:dyDescent="0.35">
      <c r="B57" s="93"/>
      <c r="D57" s="93"/>
    </row>
    <row r="58" spans="2:4" x14ac:dyDescent="0.35">
      <c r="B58" s="93"/>
      <c r="D58" s="93"/>
    </row>
    <row r="59" spans="2:4" x14ac:dyDescent="0.35">
      <c r="B59" s="93"/>
      <c r="D59" s="93"/>
    </row>
    <row r="60" spans="2:4" x14ac:dyDescent="0.35">
      <c r="B60" s="93"/>
      <c r="D60" s="93"/>
    </row>
    <row r="61" spans="2:4" x14ac:dyDescent="0.35">
      <c r="B61" s="93"/>
      <c r="D61" s="93"/>
    </row>
    <row r="62" spans="2:4" x14ac:dyDescent="0.35">
      <c r="B62" s="93"/>
      <c r="D62" s="93"/>
    </row>
    <row r="63" spans="2:4" x14ac:dyDescent="0.35">
      <c r="B63" s="93"/>
      <c r="D63" s="93"/>
    </row>
    <row r="64" spans="2:4" x14ac:dyDescent="0.35">
      <c r="B64" s="93"/>
      <c r="D64" s="93"/>
    </row>
    <row r="65" spans="2:4" x14ac:dyDescent="0.35">
      <c r="B65" s="93"/>
      <c r="D65" s="93"/>
    </row>
    <row r="66" spans="2:4" x14ac:dyDescent="0.35">
      <c r="B66" s="93"/>
      <c r="D66" s="93"/>
    </row>
    <row r="67" spans="2:4" x14ac:dyDescent="0.35">
      <c r="B67" s="93"/>
      <c r="D67" s="93"/>
    </row>
    <row r="68" spans="2:4" x14ac:dyDescent="0.35">
      <c r="B68" s="93"/>
      <c r="D68" s="93"/>
    </row>
    <row r="69" spans="2:4" x14ac:dyDescent="0.35">
      <c r="B69" s="93"/>
      <c r="D69" s="93"/>
    </row>
    <row r="70" spans="2:4" x14ac:dyDescent="0.35">
      <c r="B70" s="93"/>
      <c r="D70" s="93"/>
    </row>
    <row r="71" spans="2:4" x14ac:dyDescent="0.35">
      <c r="B71" s="93"/>
      <c r="D71" s="93"/>
    </row>
    <row r="72" spans="2:4" x14ac:dyDescent="0.35">
      <c r="B72" s="93"/>
      <c r="D72" s="93"/>
    </row>
    <row r="73" spans="2:4" x14ac:dyDescent="0.35">
      <c r="B73" s="93"/>
      <c r="D73" s="93"/>
    </row>
    <row r="74" spans="2:4" x14ac:dyDescent="0.35">
      <c r="B74" s="93"/>
      <c r="D74" s="93"/>
    </row>
    <row r="75" spans="2:4" x14ac:dyDescent="0.35">
      <c r="B75" s="93"/>
      <c r="D75" s="93"/>
    </row>
    <row r="76" spans="2:4" x14ac:dyDescent="0.35">
      <c r="B76" s="93"/>
      <c r="D76" s="93"/>
    </row>
    <row r="77" spans="2:4" x14ac:dyDescent="0.35">
      <c r="B77" s="93"/>
      <c r="D77" s="93"/>
    </row>
    <row r="78" spans="2:4" x14ac:dyDescent="0.35">
      <c r="B78" s="93"/>
      <c r="D78" s="93"/>
    </row>
    <row r="79" spans="2:4" x14ac:dyDescent="0.35">
      <c r="B79" s="93"/>
      <c r="D79" s="93"/>
    </row>
    <row r="80" spans="2:4" x14ac:dyDescent="0.35">
      <c r="B80" s="93"/>
      <c r="D80" s="93"/>
    </row>
    <row r="81" spans="2:4" x14ac:dyDescent="0.35">
      <c r="B81" s="93"/>
      <c r="D81" s="93"/>
    </row>
    <row r="82" spans="2:4" x14ac:dyDescent="0.35">
      <c r="B82" s="93"/>
      <c r="D82" s="93"/>
    </row>
    <row r="83" spans="2:4" x14ac:dyDescent="0.35">
      <c r="B83" s="93"/>
      <c r="D83" s="93"/>
    </row>
    <row r="84" spans="2:4" x14ac:dyDescent="0.35">
      <c r="B84" s="93"/>
      <c r="D84" s="93"/>
    </row>
    <row r="85" spans="2:4" x14ac:dyDescent="0.35">
      <c r="B85" s="93"/>
      <c r="D85" s="93"/>
    </row>
    <row r="86" spans="2:4" x14ac:dyDescent="0.35">
      <c r="B86" s="93"/>
      <c r="D86" s="93"/>
    </row>
    <row r="87" spans="2:4" x14ac:dyDescent="0.35">
      <c r="B87" s="93"/>
      <c r="D87" s="93"/>
    </row>
    <row r="88" spans="2:4" x14ac:dyDescent="0.35">
      <c r="B88" s="93"/>
    </row>
  </sheetData>
  <mergeCells count="3">
    <mergeCell ref="A1:Q1"/>
    <mergeCell ref="A3:Q3"/>
    <mergeCell ref="A2:R2"/>
  </mergeCells>
  <pageMargins left="0.9055118110236221" right="0.70866141732283472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82"/>
  <sheetViews>
    <sheetView zoomScaleNormal="100" workbookViewId="0">
      <selection activeCell="R7" sqref="R7"/>
    </sheetView>
  </sheetViews>
  <sheetFormatPr defaultColWidth="9.109375" defaultRowHeight="18" x14ac:dyDescent="0.35"/>
  <cols>
    <col min="1" max="1" width="9.44140625" style="1" customWidth="1"/>
    <col min="2" max="2" width="7" style="1" customWidth="1"/>
    <col min="3" max="3" width="30.6640625" style="1" customWidth="1"/>
    <col min="4" max="4" width="16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5.5546875" style="1" customWidth="1"/>
    <col min="18" max="18" width="19.88671875" style="1" customWidth="1"/>
    <col min="19" max="16384" width="9.109375" style="1"/>
  </cols>
  <sheetData>
    <row r="1" spans="1:18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x14ac:dyDescent="0.35">
      <c r="A3" s="101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8" x14ac:dyDescent="0.35">
      <c r="D4" s="23"/>
      <c r="R4" s="23" t="s">
        <v>27</v>
      </c>
    </row>
    <row r="5" spans="1:18" ht="36" x14ac:dyDescent="0.35">
      <c r="A5" s="3" t="s">
        <v>0</v>
      </c>
      <c r="B5" s="3" t="s">
        <v>1</v>
      </c>
      <c r="C5" s="3" t="s">
        <v>32</v>
      </c>
      <c r="D5" s="31" t="s">
        <v>38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6" t="s">
        <v>74</v>
      </c>
      <c r="R5" s="16" t="s">
        <v>51</v>
      </c>
    </row>
    <row r="6" spans="1:18" ht="28.5" customHeight="1" x14ac:dyDescent="0.35">
      <c r="A6" s="8"/>
      <c r="B6" s="103" t="s">
        <v>15</v>
      </c>
      <c r="C6" s="104"/>
      <c r="D6" s="10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6"/>
    </row>
    <row r="7" spans="1:18" ht="54" x14ac:dyDescent="0.35">
      <c r="A7" s="13">
        <v>70401</v>
      </c>
      <c r="B7" s="3">
        <v>2282</v>
      </c>
      <c r="C7" s="25" t="s">
        <v>45</v>
      </c>
      <c r="D7" s="4">
        <f>SUM(E7:P7)</f>
        <v>700</v>
      </c>
      <c r="E7" s="7"/>
      <c r="F7" s="7">
        <v>100</v>
      </c>
      <c r="G7" s="7"/>
      <c r="H7" s="7"/>
      <c r="I7" s="7"/>
      <c r="J7" s="7"/>
      <c r="K7" s="7"/>
      <c r="L7" s="7"/>
      <c r="M7" s="7"/>
      <c r="N7" s="7"/>
      <c r="O7" s="7"/>
      <c r="P7" s="7">
        <v>600</v>
      </c>
      <c r="Q7" s="7">
        <v>840</v>
      </c>
      <c r="R7" s="90"/>
    </row>
    <row r="8" spans="1:18" ht="28.5" customHeight="1" x14ac:dyDescent="0.35">
      <c r="A8" s="13"/>
      <c r="B8" s="103" t="s">
        <v>19</v>
      </c>
      <c r="C8" s="104"/>
      <c r="D8" s="10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"/>
    </row>
    <row r="9" spans="1:18" x14ac:dyDescent="0.35">
      <c r="A9" s="8">
        <v>70401</v>
      </c>
      <c r="B9" s="3">
        <v>2730</v>
      </c>
      <c r="C9" s="26" t="s">
        <v>46</v>
      </c>
      <c r="D9" s="4">
        <f>SUM(E9:P9)</f>
        <v>306.7</v>
      </c>
      <c r="E9" s="7">
        <v>66.7</v>
      </c>
      <c r="F9" s="7">
        <v>30</v>
      </c>
      <c r="G9" s="7">
        <v>30</v>
      </c>
      <c r="H9" s="7">
        <v>30</v>
      </c>
      <c r="I9" s="7">
        <v>30</v>
      </c>
      <c r="J9" s="7">
        <v>30</v>
      </c>
      <c r="K9" s="7"/>
      <c r="L9" s="7"/>
      <c r="M9" s="7">
        <v>30</v>
      </c>
      <c r="N9" s="7">
        <v>30</v>
      </c>
      <c r="O9" s="7">
        <v>30</v>
      </c>
      <c r="P9" s="7"/>
      <c r="Q9" s="7">
        <v>300</v>
      </c>
      <c r="R9" s="4"/>
    </row>
    <row r="10" spans="1:18" x14ac:dyDescent="0.35">
      <c r="A10" s="8" t="s">
        <v>25</v>
      </c>
      <c r="B10" s="12"/>
      <c r="C10" s="12"/>
      <c r="D10" s="9">
        <f t="shared" ref="D10:Q10" si="0">SUM(D7:D9)</f>
        <v>1006.7</v>
      </c>
      <c r="E10" s="9">
        <f t="shared" si="0"/>
        <v>66.7</v>
      </c>
      <c r="F10" s="9">
        <f t="shared" si="0"/>
        <v>130</v>
      </c>
      <c r="G10" s="9">
        <f t="shared" si="0"/>
        <v>30</v>
      </c>
      <c r="H10" s="9">
        <f t="shared" si="0"/>
        <v>30</v>
      </c>
      <c r="I10" s="9">
        <f t="shared" si="0"/>
        <v>30</v>
      </c>
      <c r="J10" s="9">
        <f t="shared" si="0"/>
        <v>30</v>
      </c>
      <c r="K10" s="9">
        <f t="shared" si="0"/>
        <v>0</v>
      </c>
      <c r="L10" s="9">
        <f t="shared" si="0"/>
        <v>0</v>
      </c>
      <c r="M10" s="9">
        <f t="shared" si="0"/>
        <v>30</v>
      </c>
      <c r="N10" s="9">
        <f t="shared" si="0"/>
        <v>30</v>
      </c>
      <c r="O10" s="9">
        <f t="shared" si="0"/>
        <v>30</v>
      </c>
      <c r="P10" s="9">
        <f t="shared" si="0"/>
        <v>600</v>
      </c>
      <c r="Q10" s="9">
        <f t="shared" si="0"/>
        <v>1140</v>
      </c>
      <c r="R10" s="91">
        <f>R7+R9</f>
        <v>0</v>
      </c>
    </row>
    <row r="11" spans="1:18" ht="18.75" x14ac:dyDescent="0.3">
      <c r="B11" s="50"/>
      <c r="C11" s="50"/>
      <c r="D11" s="50"/>
    </row>
    <row r="12" spans="1:18" ht="18.75" x14ac:dyDescent="0.3">
      <c r="B12" s="50"/>
      <c r="C12" s="50"/>
      <c r="D12" s="50"/>
    </row>
    <row r="13" spans="1:18" ht="18.75" x14ac:dyDescent="0.3">
      <c r="B13" s="50"/>
      <c r="C13" s="50"/>
      <c r="D13" s="50"/>
    </row>
    <row r="14" spans="1:18" ht="18.75" x14ac:dyDescent="0.3">
      <c r="B14" s="50"/>
      <c r="C14" s="50"/>
      <c r="D14" s="50"/>
    </row>
    <row r="15" spans="1:18" x14ac:dyDescent="0.35">
      <c r="B15" s="50"/>
      <c r="C15" s="50"/>
      <c r="D15" s="50"/>
    </row>
    <row r="16" spans="1:18" x14ac:dyDescent="0.35">
      <c r="B16" s="50"/>
      <c r="C16" s="50"/>
      <c r="D16" s="50"/>
    </row>
    <row r="17" spans="2:4" x14ac:dyDescent="0.35">
      <c r="B17" s="50"/>
      <c r="C17" s="50"/>
      <c r="D17" s="50"/>
    </row>
    <row r="18" spans="2:4" x14ac:dyDescent="0.35">
      <c r="B18" s="50"/>
      <c r="C18" s="50"/>
      <c r="D18" s="50"/>
    </row>
    <row r="19" spans="2:4" x14ac:dyDescent="0.35">
      <c r="B19" s="50"/>
      <c r="C19" s="50"/>
      <c r="D19" s="50"/>
    </row>
    <row r="20" spans="2:4" x14ac:dyDescent="0.35">
      <c r="B20" s="50"/>
      <c r="C20" s="50"/>
      <c r="D20" s="50"/>
    </row>
    <row r="21" spans="2:4" x14ac:dyDescent="0.35">
      <c r="B21" s="50"/>
      <c r="C21" s="50"/>
      <c r="D21" s="50"/>
    </row>
    <row r="22" spans="2:4" x14ac:dyDescent="0.35">
      <c r="B22" s="50"/>
      <c r="C22" s="50"/>
      <c r="D22" s="50"/>
    </row>
    <row r="23" spans="2:4" x14ac:dyDescent="0.35">
      <c r="B23" s="50"/>
      <c r="C23" s="50"/>
      <c r="D23" s="50"/>
    </row>
    <row r="24" spans="2:4" x14ac:dyDescent="0.35">
      <c r="B24" s="50"/>
      <c r="C24" s="50"/>
      <c r="D24" s="50"/>
    </row>
    <row r="25" spans="2:4" x14ac:dyDescent="0.35">
      <c r="B25" s="50"/>
      <c r="C25" s="50"/>
      <c r="D25" s="50"/>
    </row>
    <row r="26" spans="2:4" x14ac:dyDescent="0.35">
      <c r="B26" s="50"/>
      <c r="C26" s="50"/>
      <c r="D26" s="50"/>
    </row>
    <row r="27" spans="2:4" x14ac:dyDescent="0.35">
      <c r="B27" s="50"/>
      <c r="C27" s="50"/>
      <c r="D27" s="50"/>
    </row>
    <row r="28" spans="2:4" x14ac:dyDescent="0.35">
      <c r="B28" s="50"/>
      <c r="C28" s="50"/>
      <c r="D28" s="50"/>
    </row>
    <row r="29" spans="2:4" x14ac:dyDescent="0.35">
      <c r="B29" s="50"/>
      <c r="C29" s="50"/>
      <c r="D29" s="50"/>
    </row>
    <row r="30" spans="2:4" x14ac:dyDescent="0.35">
      <c r="B30" s="50"/>
      <c r="C30" s="50"/>
      <c r="D30" s="50"/>
    </row>
    <row r="31" spans="2:4" x14ac:dyDescent="0.35">
      <c r="B31" s="50"/>
      <c r="C31" s="50"/>
      <c r="D31" s="50"/>
    </row>
    <row r="32" spans="2:4" x14ac:dyDescent="0.35">
      <c r="B32" s="50"/>
      <c r="C32" s="50"/>
      <c r="D32" s="50"/>
    </row>
    <row r="33" spans="2:4" x14ac:dyDescent="0.35">
      <c r="B33" s="50"/>
      <c r="C33" s="50"/>
      <c r="D33" s="50"/>
    </row>
    <row r="34" spans="2:4" x14ac:dyDescent="0.35">
      <c r="B34" s="50"/>
      <c r="C34" s="50"/>
      <c r="D34" s="50"/>
    </row>
    <row r="35" spans="2:4" x14ac:dyDescent="0.35">
      <c r="B35" s="50"/>
      <c r="C35" s="50"/>
      <c r="D35" s="50"/>
    </row>
    <row r="36" spans="2:4" x14ac:dyDescent="0.35">
      <c r="B36" s="50"/>
      <c r="C36" s="50"/>
      <c r="D36" s="50"/>
    </row>
    <row r="37" spans="2:4" x14ac:dyDescent="0.35">
      <c r="B37" s="50"/>
      <c r="C37" s="50"/>
      <c r="D37" s="50"/>
    </row>
    <row r="38" spans="2:4" x14ac:dyDescent="0.35">
      <c r="B38" s="50"/>
      <c r="C38" s="50"/>
      <c r="D38" s="50"/>
    </row>
    <row r="39" spans="2:4" x14ac:dyDescent="0.35">
      <c r="B39" s="50"/>
      <c r="C39" s="50"/>
      <c r="D39" s="50"/>
    </row>
    <row r="40" spans="2:4" x14ac:dyDescent="0.35">
      <c r="B40" s="50"/>
      <c r="C40" s="50"/>
      <c r="D40" s="50"/>
    </row>
    <row r="41" spans="2:4" x14ac:dyDescent="0.35">
      <c r="B41" s="50"/>
      <c r="C41" s="50"/>
      <c r="D41" s="50"/>
    </row>
    <row r="42" spans="2:4" x14ac:dyDescent="0.35">
      <c r="B42" s="50"/>
      <c r="C42" s="50"/>
      <c r="D42" s="50"/>
    </row>
    <row r="43" spans="2:4" x14ac:dyDescent="0.35">
      <c r="B43" s="50"/>
      <c r="C43" s="50"/>
      <c r="D43" s="50"/>
    </row>
    <row r="44" spans="2:4" x14ac:dyDescent="0.35">
      <c r="B44" s="50"/>
      <c r="C44" s="50"/>
      <c r="D44" s="50"/>
    </row>
    <row r="45" spans="2:4" x14ac:dyDescent="0.35">
      <c r="B45" s="50"/>
      <c r="C45" s="50"/>
      <c r="D45" s="50"/>
    </row>
    <row r="46" spans="2:4" x14ac:dyDescent="0.35">
      <c r="B46" s="50"/>
      <c r="C46" s="50"/>
      <c r="D46" s="50"/>
    </row>
    <row r="47" spans="2:4" x14ac:dyDescent="0.35">
      <c r="B47" s="50"/>
      <c r="C47" s="50"/>
      <c r="D47" s="50"/>
    </row>
    <row r="48" spans="2:4" x14ac:dyDescent="0.35">
      <c r="B48" s="50"/>
      <c r="C48" s="50"/>
      <c r="D48" s="50"/>
    </row>
    <row r="49" spans="2:4" x14ac:dyDescent="0.35">
      <c r="B49" s="50"/>
      <c r="C49" s="50"/>
      <c r="D49" s="50"/>
    </row>
    <row r="50" spans="2:4" x14ac:dyDescent="0.35">
      <c r="B50" s="50"/>
      <c r="C50" s="50"/>
      <c r="D50" s="50"/>
    </row>
    <row r="51" spans="2:4" x14ac:dyDescent="0.35">
      <c r="B51" s="50"/>
      <c r="C51" s="50"/>
      <c r="D51" s="50"/>
    </row>
    <row r="52" spans="2:4" x14ac:dyDescent="0.35">
      <c r="B52" s="50"/>
      <c r="C52" s="50"/>
      <c r="D52" s="50"/>
    </row>
    <row r="53" spans="2:4" x14ac:dyDescent="0.35">
      <c r="B53" s="50"/>
      <c r="C53" s="50"/>
      <c r="D53" s="50"/>
    </row>
    <row r="54" spans="2:4" x14ac:dyDescent="0.35">
      <c r="B54" s="50"/>
      <c r="C54" s="50"/>
      <c r="D54" s="50"/>
    </row>
    <row r="55" spans="2:4" x14ac:dyDescent="0.35">
      <c r="B55" s="50"/>
      <c r="C55" s="50"/>
      <c r="D55" s="50"/>
    </row>
    <row r="56" spans="2:4" x14ac:dyDescent="0.35">
      <c r="B56" s="50"/>
      <c r="C56" s="50"/>
      <c r="D56" s="50"/>
    </row>
    <row r="57" spans="2:4" x14ac:dyDescent="0.35">
      <c r="B57" s="50"/>
      <c r="C57" s="50"/>
      <c r="D57" s="50"/>
    </row>
    <row r="58" spans="2:4" x14ac:dyDescent="0.35">
      <c r="B58" s="50"/>
      <c r="C58" s="50"/>
      <c r="D58" s="50"/>
    </row>
    <row r="59" spans="2:4" x14ac:dyDescent="0.35">
      <c r="B59" s="50"/>
      <c r="C59" s="50"/>
      <c r="D59" s="50"/>
    </row>
    <row r="60" spans="2:4" x14ac:dyDescent="0.35">
      <c r="B60" s="50"/>
      <c r="C60" s="50"/>
      <c r="D60" s="50"/>
    </row>
    <row r="61" spans="2:4" x14ac:dyDescent="0.35">
      <c r="B61" s="50"/>
      <c r="C61" s="50"/>
      <c r="D61" s="50"/>
    </row>
    <row r="62" spans="2:4" x14ac:dyDescent="0.35">
      <c r="B62" s="50"/>
      <c r="C62" s="50"/>
      <c r="D62" s="50"/>
    </row>
    <row r="63" spans="2:4" x14ac:dyDescent="0.35">
      <c r="B63" s="50"/>
      <c r="C63" s="50"/>
      <c r="D63" s="50"/>
    </row>
    <row r="64" spans="2:4" x14ac:dyDescent="0.35">
      <c r="B64" s="50"/>
      <c r="C64" s="50"/>
      <c r="D64" s="50"/>
    </row>
    <row r="65" spans="2:4" x14ac:dyDescent="0.35">
      <c r="B65" s="50"/>
      <c r="C65" s="50"/>
      <c r="D65" s="50"/>
    </row>
    <row r="66" spans="2:4" x14ac:dyDescent="0.35">
      <c r="B66" s="50"/>
      <c r="C66" s="50"/>
      <c r="D66" s="50"/>
    </row>
    <row r="67" spans="2:4" x14ac:dyDescent="0.35">
      <c r="B67" s="50"/>
      <c r="C67" s="50"/>
      <c r="D67" s="50"/>
    </row>
    <row r="68" spans="2:4" x14ac:dyDescent="0.35">
      <c r="B68" s="50"/>
      <c r="C68" s="50"/>
      <c r="D68" s="50"/>
    </row>
    <row r="69" spans="2:4" x14ac:dyDescent="0.35">
      <c r="B69" s="50"/>
      <c r="C69" s="50"/>
      <c r="D69" s="50"/>
    </row>
    <row r="70" spans="2:4" x14ac:dyDescent="0.35">
      <c r="B70" s="50"/>
      <c r="C70" s="50"/>
      <c r="D70" s="50"/>
    </row>
    <row r="71" spans="2:4" x14ac:dyDescent="0.35">
      <c r="B71" s="50"/>
      <c r="C71" s="50"/>
      <c r="D71" s="50"/>
    </row>
    <row r="72" spans="2:4" x14ac:dyDescent="0.35">
      <c r="B72" s="50"/>
      <c r="C72" s="50"/>
      <c r="D72" s="50"/>
    </row>
    <row r="73" spans="2:4" x14ac:dyDescent="0.35">
      <c r="B73" s="50"/>
      <c r="C73" s="50"/>
      <c r="D73" s="50"/>
    </row>
    <row r="74" spans="2:4" x14ac:dyDescent="0.35">
      <c r="B74" s="50"/>
      <c r="C74" s="50"/>
      <c r="D74" s="50"/>
    </row>
    <row r="75" spans="2:4" x14ac:dyDescent="0.35">
      <c r="B75" s="50"/>
      <c r="C75" s="50"/>
      <c r="D75" s="50"/>
    </row>
    <row r="76" spans="2:4" x14ac:dyDescent="0.35">
      <c r="B76" s="50"/>
      <c r="C76" s="50"/>
      <c r="D76" s="50"/>
    </row>
    <row r="77" spans="2:4" x14ac:dyDescent="0.35">
      <c r="B77" s="50"/>
      <c r="C77" s="50"/>
      <c r="D77" s="50"/>
    </row>
    <row r="78" spans="2:4" x14ac:dyDescent="0.35">
      <c r="B78" s="50"/>
      <c r="C78" s="50"/>
      <c r="D78" s="50"/>
    </row>
    <row r="79" spans="2:4" x14ac:dyDescent="0.35">
      <c r="B79" s="50"/>
      <c r="C79" s="50"/>
      <c r="D79" s="50"/>
    </row>
    <row r="80" spans="2:4" x14ac:dyDescent="0.35">
      <c r="B80" s="50"/>
      <c r="C80" s="50"/>
      <c r="D80" s="50"/>
    </row>
    <row r="81" spans="2:4" x14ac:dyDescent="0.35">
      <c r="B81" s="50"/>
      <c r="C81" s="50"/>
      <c r="D81" s="50"/>
    </row>
    <row r="82" spans="2:4" x14ac:dyDescent="0.35">
      <c r="B82" s="50"/>
      <c r="C82" s="50"/>
    </row>
  </sheetData>
  <mergeCells count="5">
    <mergeCell ref="A1:R1"/>
    <mergeCell ref="A2:R2"/>
    <mergeCell ref="A3:R3"/>
    <mergeCell ref="B6:D6"/>
    <mergeCell ref="B8:D8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6"/>
  <sheetViews>
    <sheetView zoomScaleNormal="100" workbookViewId="0">
      <selection activeCell="R20" sqref="R20"/>
    </sheetView>
  </sheetViews>
  <sheetFormatPr defaultColWidth="9.109375" defaultRowHeight="18" x14ac:dyDescent="0.35"/>
  <cols>
    <col min="1" max="1" width="8.5546875" style="1" customWidth="1"/>
    <col min="2" max="2" width="14.44140625" style="1" customWidth="1"/>
    <col min="3" max="3" width="28" style="1" customWidth="1"/>
    <col min="4" max="4" width="17.109375" style="2" hidden="1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5.44140625" style="1" customWidth="1"/>
    <col min="18" max="18" width="20" style="1" customWidth="1"/>
    <col min="19" max="19" width="9.6640625" style="1" bestFit="1" customWidth="1"/>
    <col min="20" max="16384" width="9.109375" style="1"/>
  </cols>
  <sheetData>
    <row r="1" spans="1:19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9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9" x14ac:dyDescent="0.35">
      <c r="A3" s="101" t="s">
        <v>26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9" x14ac:dyDescent="0.35">
      <c r="D4" s="23"/>
      <c r="R4" s="23" t="s">
        <v>27</v>
      </c>
    </row>
    <row r="5" spans="1:19" ht="34.5" customHeight="1" x14ac:dyDescent="0.35">
      <c r="A5" s="3" t="s">
        <v>0</v>
      </c>
      <c r="B5" s="3" t="s">
        <v>1</v>
      </c>
      <c r="C5" s="3" t="s">
        <v>32</v>
      </c>
      <c r="D5" s="31" t="s">
        <v>38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13</v>
      </c>
      <c r="Q5" s="31" t="s">
        <v>74</v>
      </c>
      <c r="R5" s="18" t="s">
        <v>51</v>
      </c>
    </row>
    <row r="6" spans="1:19" ht="36" x14ac:dyDescent="0.35">
      <c r="A6" s="6">
        <v>70501</v>
      </c>
      <c r="B6" s="51" t="s">
        <v>69</v>
      </c>
      <c r="C6" s="52" t="s">
        <v>70</v>
      </c>
      <c r="D6" s="4">
        <v>107121.4</v>
      </c>
      <c r="E6" s="7">
        <v>5768</v>
      </c>
      <c r="F6" s="7">
        <v>7557.1</v>
      </c>
      <c r="G6" s="7">
        <v>5843.9</v>
      </c>
      <c r="H6" s="7">
        <v>5844</v>
      </c>
      <c r="I6" s="7">
        <v>5844</v>
      </c>
      <c r="J6" s="7">
        <v>13869.2</v>
      </c>
      <c r="K6" s="7">
        <v>3759.2</v>
      </c>
      <c r="L6" s="7">
        <v>3759.2</v>
      </c>
      <c r="M6" s="7">
        <v>7792.5</v>
      </c>
      <c r="N6" s="7">
        <v>6184.7</v>
      </c>
      <c r="O6" s="7">
        <v>6185.3</v>
      </c>
      <c r="P6" s="7">
        <v>6185.3</v>
      </c>
      <c r="Q6" s="4">
        <f>168172.4+36997.9</f>
        <v>205170.3</v>
      </c>
      <c r="R6" s="4">
        <f>124800.1+27448.1</f>
        <v>152248.20000000001</v>
      </c>
    </row>
    <row r="7" spans="1:19" ht="37.5" customHeight="1" x14ac:dyDescent="0.35">
      <c r="A7" s="8"/>
      <c r="B7" s="3">
        <v>2210</v>
      </c>
      <c r="C7" s="24" t="s">
        <v>33</v>
      </c>
      <c r="D7" s="4">
        <f>SUM(E7:P7)</f>
        <v>415.6</v>
      </c>
      <c r="E7" s="7">
        <v>5</v>
      </c>
      <c r="F7" s="7"/>
      <c r="G7" s="7"/>
      <c r="H7" s="7">
        <v>23</v>
      </c>
      <c r="I7" s="7"/>
      <c r="J7" s="7"/>
      <c r="K7" s="7"/>
      <c r="L7" s="7"/>
      <c r="M7" s="7">
        <v>387.6</v>
      </c>
      <c r="N7" s="7"/>
      <c r="O7" s="7"/>
      <c r="P7" s="7"/>
      <c r="Q7" s="4">
        <v>624.29999999999995</v>
      </c>
      <c r="R7" s="4">
        <v>160.64599999999999</v>
      </c>
    </row>
    <row r="8" spans="1:19" x14ac:dyDescent="0.35">
      <c r="A8" s="8"/>
      <c r="B8" s="3">
        <v>2230</v>
      </c>
      <c r="C8" s="24" t="s">
        <v>43</v>
      </c>
      <c r="D8" s="4">
        <f t="shared" ref="D8:D9" si="0">SUM(E8:P8)</f>
        <v>10403.099999999999</v>
      </c>
      <c r="E8" s="7">
        <v>2510.9</v>
      </c>
      <c r="F8" s="7">
        <v>790</v>
      </c>
      <c r="G8" s="7">
        <v>500</v>
      </c>
      <c r="H8" s="7">
        <v>989.8</v>
      </c>
      <c r="I8" s="7">
        <v>794.7</v>
      </c>
      <c r="J8" s="7">
        <v>794.7</v>
      </c>
      <c r="K8" s="7">
        <v>420.5</v>
      </c>
      <c r="L8" s="7">
        <v>420.5</v>
      </c>
      <c r="M8" s="7">
        <v>795.5</v>
      </c>
      <c r="N8" s="7">
        <v>795.5</v>
      </c>
      <c r="O8" s="7">
        <v>795.5</v>
      </c>
      <c r="P8" s="7">
        <v>795.5</v>
      </c>
      <c r="Q8" s="4">
        <v>13491</v>
      </c>
      <c r="R8" s="4">
        <v>8673</v>
      </c>
    </row>
    <row r="9" spans="1:19" ht="36" x14ac:dyDescent="0.35">
      <c r="A9" s="8"/>
      <c r="B9" s="3">
        <v>2240</v>
      </c>
      <c r="C9" s="24" t="s">
        <v>34</v>
      </c>
      <c r="D9" s="4">
        <f t="shared" si="0"/>
        <v>1278.3</v>
      </c>
      <c r="E9" s="7">
        <v>10</v>
      </c>
      <c r="F9" s="7">
        <v>15</v>
      </c>
      <c r="G9" s="7">
        <v>15</v>
      </c>
      <c r="H9" s="7">
        <v>204.7</v>
      </c>
      <c r="I9" s="7">
        <v>800</v>
      </c>
      <c r="J9" s="7">
        <v>70</v>
      </c>
      <c r="K9" s="7"/>
      <c r="L9" s="7">
        <v>70</v>
      </c>
      <c r="M9" s="7"/>
      <c r="N9" s="7">
        <v>93.6</v>
      </c>
      <c r="O9" s="7"/>
      <c r="P9" s="7"/>
      <c r="Q9" s="4">
        <v>2671.3</v>
      </c>
      <c r="R9" s="4">
        <v>884.63</v>
      </c>
    </row>
    <row r="10" spans="1:19" ht="41.25" customHeight="1" x14ac:dyDescent="0.35">
      <c r="A10" s="8"/>
      <c r="B10" s="57">
        <v>2270</v>
      </c>
      <c r="C10" s="61" t="s">
        <v>35</v>
      </c>
      <c r="D10" s="58">
        <f>SUM(D11:D14)</f>
        <v>23251.5</v>
      </c>
      <c r="E10" s="58">
        <f t="shared" ref="E10:Q10" si="1">SUM(E11:E14)</f>
        <v>1728.5</v>
      </c>
      <c r="F10" s="58">
        <f t="shared" si="1"/>
        <v>6504.7999999999993</v>
      </c>
      <c r="G10" s="58">
        <f t="shared" si="1"/>
        <v>5558.4</v>
      </c>
      <c r="H10" s="58">
        <f t="shared" si="1"/>
        <v>4488.5</v>
      </c>
      <c r="I10" s="58">
        <f t="shared" si="1"/>
        <v>391.7</v>
      </c>
      <c r="J10" s="58">
        <f t="shared" si="1"/>
        <v>319.5</v>
      </c>
      <c r="K10" s="58">
        <f t="shared" si="1"/>
        <v>220.6</v>
      </c>
      <c r="L10" s="58">
        <f t="shared" si="1"/>
        <v>205.40000000000003</v>
      </c>
      <c r="M10" s="58">
        <f t="shared" si="1"/>
        <v>613.1</v>
      </c>
      <c r="N10" s="58">
        <f t="shared" si="1"/>
        <v>1490.2</v>
      </c>
      <c r="O10" s="58">
        <f t="shared" si="1"/>
        <v>1339.1000000000001</v>
      </c>
      <c r="P10" s="58">
        <f t="shared" si="1"/>
        <v>391.7</v>
      </c>
      <c r="Q10" s="58">
        <f t="shared" si="1"/>
        <v>46881.4</v>
      </c>
      <c r="R10" s="58">
        <f>R11+R12+R13+R14</f>
        <v>33877</v>
      </c>
      <c r="S10" s="5">
        <f>R11+R12+R13+R14</f>
        <v>33877</v>
      </c>
    </row>
    <row r="11" spans="1:19" ht="22.8" customHeight="1" x14ac:dyDescent="0.35">
      <c r="A11" s="8"/>
      <c r="B11" s="3">
        <v>2271</v>
      </c>
      <c r="C11" s="26" t="s">
        <v>39</v>
      </c>
      <c r="D11" s="4">
        <f t="shared" ref="D11:D16" si="2">SUM(E11:P11)</f>
        <v>14378.8</v>
      </c>
      <c r="E11" s="7">
        <v>982.5</v>
      </c>
      <c r="F11" s="7">
        <v>4704.8999999999996</v>
      </c>
      <c r="G11" s="7">
        <v>3989.5</v>
      </c>
      <c r="H11" s="7">
        <v>3220.1</v>
      </c>
      <c r="I11" s="7">
        <v>67</v>
      </c>
      <c r="J11" s="7"/>
      <c r="K11" s="7"/>
      <c r="L11" s="7"/>
      <c r="M11" s="7"/>
      <c r="N11" s="7">
        <v>700</v>
      </c>
      <c r="O11" s="7">
        <v>714.8</v>
      </c>
      <c r="P11" s="7"/>
      <c r="Q11" s="4">
        <v>36374.800000000003</v>
      </c>
      <c r="R11" s="4">
        <v>28552.762999999999</v>
      </c>
    </row>
    <row r="12" spans="1:19" ht="36.75" customHeight="1" x14ac:dyDescent="0.35">
      <c r="A12" s="8"/>
      <c r="B12" s="3">
        <v>2272</v>
      </c>
      <c r="C12" s="25" t="s">
        <v>40</v>
      </c>
      <c r="D12" s="4">
        <f t="shared" si="2"/>
        <v>1075.7</v>
      </c>
      <c r="E12" s="7">
        <v>14.9</v>
      </c>
      <c r="F12" s="7">
        <v>118</v>
      </c>
      <c r="G12" s="7">
        <v>94.5</v>
      </c>
      <c r="H12" s="7">
        <v>202.1</v>
      </c>
      <c r="I12" s="7">
        <v>49.9</v>
      </c>
      <c r="J12" s="7">
        <v>51</v>
      </c>
      <c r="K12" s="7">
        <v>34.5</v>
      </c>
      <c r="L12" s="7">
        <v>45.8</v>
      </c>
      <c r="M12" s="7">
        <v>276</v>
      </c>
      <c r="N12" s="7">
        <v>72.7</v>
      </c>
      <c r="O12" s="7">
        <v>57</v>
      </c>
      <c r="P12" s="7">
        <v>59.3</v>
      </c>
      <c r="Q12" s="4">
        <v>2027.2</v>
      </c>
      <c r="R12" s="4">
        <v>791.572</v>
      </c>
    </row>
    <row r="13" spans="1:19" ht="19.8" customHeight="1" x14ac:dyDescent="0.35">
      <c r="A13" s="8"/>
      <c r="B13" s="3">
        <v>2273</v>
      </c>
      <c r="C13" s="26" t="s">
        <v>41</v>
      </c>
      <c r="D13" s="4">
        <f t="shared" si="2"/>
        <v>4162.9000000000005</v>
      </c>
      <c r="E13" s="7">
        <v>245</v>
      </c>
      <c r="F13" s="7">
        <v>970.2</v>
      </c>
      <c r="G13" s="7">
        <v>653.4</v>
      </c>
      <c r="H13" s="7">
        <v>525.5</v>
      </c>
      <c r="I13" s="7">
        <v>225.6</v>
      </c>
      <c r="J13" s="7">
        <v>226.5</v>
      </c>
      <c r="K13" s="7">
        <v>158.1</v>
      </c>
      <c r="L13" s="7">
        <v>130.30000000000001</v>
      </c>
      <c r="M13" s="7">
        <v>285.89999999999998</v>
      </c>
      <c r="N13" s="7">
        <v>449.3</v>
      </c>
      <c r="O13" s="7">
        <v>293.10000000000002</v>
      </c>
      <c r="P13" s="7"/>
      <c r="Q13" s="4">
        <v>8479.4</v>
      </c>
      <c r="R13" s="4">
        <v>4532.665</v>
      </c>
    </row>
    <row r="14" spans="1:19" ht="21.6" customHeight="1" x14ac:dyDescent="0.35">
      <c r="A14" s="8"/>
      <c r="B14" s="3">
        <v>2274</v>
      </c>
      <c r="C14" s="26" t="s">
        <v>42</v>
      </c>
      <c r="D14" s="4">
        <f t="shared" si="2"/>
        <v>3634.1</v>
      </c>
      <c r="E14" s="7">
        <v>486.1</v>
      </c>
      <c r="F14" s="7">
        <v>711.7</v>
      </c>
      <c r="G14" s="7">
        <v>821</v>
      </c>
      <c r="H14" s="7">
        <v>540.79999999999995</v>
      </c>
      <c r="I14" s="7">
        <v>49.2</v>
      </c>
      <c r="J14" s="7">
        <v>42</v>
      </c>
      <c r="K14" s="7">
        <v>28</v>
      </c>
      <c r="L14" s="7">
        <v>29.3</v>
      </c>
      <c r="M14" s="7">
        <v>51.2</v>
      </c>
      <c r="N14" s="7">
        <v>268.2</v>
      </c>
      <c r="O14" s="7">
        <v>274.2</v>
      </c>
      <c r="P14" s="7">
        <v>332.4</v>
      </c>
      <c r="Q14" s="4"/>
      <c r="R14" s="4"/>
    </row>
    <row r="15" spans="1:19" ht="21" customHeight="1" x14ac:dyDescent="0.35">
      <c r="A15" s="8"/>
      <c r="B15" s="3">
        <v>2720</v>
      </c>
      <c r="C15" s="26" t="s">
        <v>48</v>
      </c>
      <c r="D15" s="4">
        <f t="shared" si="2"/>
        <v>37347.199999999997</v>
      </c>
      <c r="E15" s="7">
        <v>3152.6</v>
      </c>
      <c r="F15" s="7">
        <v>3764.9</v>
      </c>
      <c r="G15" s="7">
        <v>3209.9</v>
      </c>
      <c r="H15" s="7">
        <v>3111.7</v>
      </c>
      <c r="I15" s="7">
        <v>3103.9</v>
      </c>
      <c r="J15" s="7">
        <v>3095</v>
      </c>
      <c r="K15" s="7">
        <v>2130.6</v>
      </c>
      <c r="L15" s="7">
        <v>2130.6</v>
      </c>
      <c r="M15" s="7">
        <v>3419.9</v>
      </c>
      <c r="N15" s="7">
        <v>3420</v>
      </c>
      <c r="O15" s="7">
        <v>3388.1</v>
      </c>
      <c r="P15" s="7">
        <v>3420</v>
      </c>
      <c r="Q15" s="4">
        <v>63824.3</v>
      </c>
      <c r="R15" s="4">
        <v>44772.315999999999</v>
      </c>
    </row>
    <row r="16" spans="1:19" ht="23.4" customHeight="1" x14ac:dyDescent="0.35">
      <c r="A16" s="8"/>
      <c r="B16" s="3">
        <v>2730</v>
      </c>
      <c r="C16" s="26" t="s">
        <v>46</v>
      </c>
      <c r="D16" s="4">
        <f t="shared" si="2"/>
        <v>1605.8999999999999</v>
      </c>
      <c r="E16" s="7">
        <v>51.2</v>
      </c>
      <c r="F16" s="7"/>
      <c r="G16" s="7"/>
      <c r="H16" s="7"/>
      <c r="I16" s="7"/>
      <c r="J16" s="7"/>
      <c r="K16" s="7">
        <v>1380.6</v>
      </c>
      <c r="L16" s="7"/>
      <c r="M16" s="7">
        <v>174.1</v>
      </c>
      <c r="N16" s="7"/>
      <c r="O16" s="7"/>
      <c r="P16" s="7"/>
      <c r="Q16" s="4">
        <v>2883.9</v>
      </c>
      <c r="R16" s="4">
        <v>1387.876</v>
      </c>
    </row>
    <row r="17" spans="1:18" x14ac:dyDescent="0.35">
      <c r="A17" s="8"/>
      <c r="B17" s="12"/>
      <c r="C17" s="12"/>
      <c r="D17" s="9">
        <f>D6+D7+D8+D9+D10+D15+D16</f>
        <v>181423.00000000003</v>
      </c>
      <c r="E17" s="9">
        <f t="shared" ref="E17:Q17" si="3">E6+E7+E8+E9+E10+E15+E16</f>
        <v>13226.2</v>
      </c>
      <c r="F17" s="9">
        <f t="shared" si="3"/>
        <v>18631.8</v>
      </c>
      <c r="G17" s="9">
        <f t="shared" si="3"/>
        <v>15127.199999999999</v>
      </c>
      <c r="H17" s="9">
        <f t="shared" si="3"/>
        <v>14661.7</v>
      </c>
      <c r="I17" s="9">
        <f t="shared" si="3"/>
        <v>10934.3</v>
      </c>
      <c r="J17" s="9">
        <f t="shared" si="3"/>
        <v>18148.400000000001</v>
      </c>
      <c r="K17" s="9">
        <f t="shared" si="3"/>
        <v>7911.5</v>
      </c>
      <c r="L17" s="9">
        <f t="shared" si="3"/>
        <v>6585.6999999999989</v>
      </c>
      <c r="M17" s="9">
        <f t="shared" si="3"/>
        <v>13182.7</v>
      </c>
      <c r="N17" s="9">
        <f t="shared" si="3"/>
        <v>11984</v>
      </c>
      <c r="O17" s="9">
        <f t="shared" si="3"/>
        <v>11708</v>
      </c>
      <c r="P17" s="9">
        <f t="shared" si="3"/>
        <v>10792.5</v>
      </c>
      <c r="Q17" s="9">
        <f t="shared" si="3"/>
        <v>335546.5</v>
      </c>
      <c r="R17" s="9">
        <f t="shared" ref="R17" si="4">R6+R7+R8+R9+R10+R15+R16</f>
        <v>242003.66800000001</v>
      </c>
    </row>
    <row r="18" spans="1:18" x14ac:dyDescent="0.35">
      <c r="B18" s="22"/>
      <c r="C18" s="22"/>
      <c r="D18" s="22"/>
    </row>
    <row r="19" spans="1:18" x14ac:dyDescent="0.35">
      <c r="B19" s="22"/>
      <c r="C19" s="22"/>
      <c r="D19" s="22"/>
    </row>
    <row r="20" spans="1:18" x14ac:dyDescent="0.35">
      <c r="B20" s="22"/>
      <c r="C20" s="22"/>
      <c r="D20" s="22"/>
    </row>
    <row r="21" spans="1:18" x14ac:dyDescent="0.35">
      <c r="B21" s="22"/>
      <c r="C21" s="22"/>
      <c r="D21" s="22"/>
    </row>
    <row r="22" spans="1:18" x14ac:dyDescent="0.35">
      <c r="B22" s="22"/>
      <c r="C22" s="22"/>
      <c r="D22" s="22"/>
    </row>
    <row r="23" spans="1:18" x14ac:dyDescent="0.35">
      <c r="B23" s="22"/>
      <c r="C23" s="22"/>
      <c r="D23" s="22"/>
    </row>
    <row r="24" spans="1:18" x14ac:dyDescent="0.35">
      <c r="B24" s="22"/>
      <c r="C24" s="22"/>
      <c r="D24" s="22"/>
    </row>
    <row r="25" spans="1:18" x14ac:dyDescent="0.35">
      <c r="B25" s="22"/>
      <c r="C25" s="22"/>
      <c r="D25" s="22"/>
    </row>
    <row r="26" spans="1:18" x14ac:dyDescent="0.35">
      <c r="B26" s="22"/>
      <c r="C26" s="22"/>
    </row>
  </sheetData>
  <mergeCells count="3">
    <mergeCell ref="A1:R1"/>
    <mergeCell ref="A2:R2"/>
    <mergeCell ref="A3:R3"/>
  </mergeCells>
  <pageMargins left="0.9055118110236221" right="0.7086614173228347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5"/>
  <sheetViews>
    <sheetView topLeftCell="A2" zoomScaleNormal="100" workbookViewId="0">
      <selection activeCell="R18" sqref="R18"/>
    </sheetView>
  </sheetViews>
  <sheetFormatPr defaultColWidth="9.109375" defaultRowHeight="18" x14ac:dyDescent="0.35"/>
  <cols>
    <col min="1" max="1" width="8.6640625" style="1" customWidth="1"/>
    <col min="2" max="2" width="13" style="1" customWidth="1"/>
    <col min="3" max="3" width="30.44140625" style="1" customWidth="1"/>
    <col min="4" max="4" width="0.109375" style="2" customWidth="1"/>
    <col min="5" max="5" width="0.33203125" style="1" hidden="1" customWidth="1"/>
    <col min="6" max="6" width="0.6640625" style="1" hidden="1" customWidth="1"/>
    <col min="7" max="8" width="0.109375" style="1" hidden="1" customWidth="1"/>
    <col min="9" max="9" width="10.109375" style="1" hidden="1" customWidth="1"/>
    <col min="10" max="10" width="9.33203125" style="1" hidden="1" customWidth="1"/>
    <col min="11" max="11" width="0.44140625" style="1" hidden="1" customWidth="1"/>
    <col min="12" max="13" width="9.5546875" style="1" hidden="1" customWidth="1"/>
    <col min="14" max="14" width="10.33203125" style="1" hidden="1" customWidth="1"/>
    <col min="15" max="15" width="10" style="1" hidden="1" customWidth="1"/>
    <col min="16" max="16" width="10.109375" style="1" hidden="1" customWidth="1"/>
    <col min="17" max="17" width="16.6640625" style="1" customWidth="1"/>
    <col min="18" max="18" width="20.109375" style="1" customWidth="1"/>
    <col min="19" max="16384" width="9.109375" style="1"/>
  </cols>
  <sheetData>
    <row r="1" spans="1:19" x14ac:dyDescent="0.3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9" x14ac:dyDescent="0.35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9" x14ac:dyDescent="0.35">
      <c r="A3" s="101" t="s">
        <v>28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9" x14ac:dyDescent="0.35">
      <c r="A4" s="47"/>
      <c r="B4" s="47"/>
      <c r="C4" s="47"/>
      <c r="D4" s="23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74"/>
      <c r="R4" s="23" t="s">
        <v>27</v>
      </c>
    </row>
    <row r="5" spans="1:19" x14ac:dyDescent="0.35">
      <c r="A5" s="106" t="s">
        <v>50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19" ht="37.5" customHeight="1" x14ac:dyDescent="0.35">
      <c r="A6" s="3" t="s">
        <v>0</v>
      </c>
      <c r="B6" s="3" t="s">
        <v>1</v>
      </c>
      <c r="C6" s="3" t="s">
        <v>32</v>
      </c>
      <c r="D6" s="31" t="s">
        <v>38</v>
      </c>
      <c r="E6" s="31" t="s">
        <v>2</v>
      </c>
      <c r="F6" s="31" t="s">
        <v>3</v>
      </c>
      <c r="G6" s="31" t="s">
        <v>4</v>
      </c>
      <c r="H6" s="31" t="s">
        <v>5</v>
      </c>
      <c r="I6" s="31" t="s">
        <v>6</v>
      </c>
      <c r="J6" s="31" t="s">
        <v>7</v>
      </c>
      <c r="K6" s="31" t="s">
        <v>8</v>
      </c>
      <c r="L6" s="31" t="s">
        <v>9</v>
      </c>
      <c r="M6" s="31" t="s">
        <v>10</v>
      </c>
      <c r="N6" s="31" t="s">
        <v>11</v>
      </c>
      <c r="O6" s="31" t="s">
        <v>12</v>
      </c>
      <c r="P6" s="31" t="s">
        <v>13</v>
      </c>
      <c r="Q6" s="31" t="s">
        <v>74</v>
      </c>
      <c r="R6" s="18" t="s">
        <v>51</v>
      </c>
    </row>
    <row r="7" spans="1:19" ht="36" x14ac:dyDescent="0.35">
      <c r="A7" s="6">
        <v>70601</v>
      </c>
      <c r="B7" s="51" t="s">
        <v>69</v>
      </c>
      <c r="C7" s="52" t="s">
        <v>70</v>
      </c>
      <c r="D7" s="4">
        <v>11183.7</v>
      </c>
      <c r="E7" s="4">
        <v>746</v>
      </c>
      <c r="F7" s="4">
        <v>650</v>
      </c>
      <c r="G7" s="4">
        <v>620</v>
      </c>
      <c r="H7" s="4">
        <v>620</v>
      </c>
      <c r="I7" s="4">
        <v>620</v>
      </c>
      <c r="J7" s="4">
        <v>1500</v>
      </c>
      <c r="K7" s="4">
        <v>450</v>
      </c>
      <c r="L7" s="4">
        <v>400</v>
      </c>
      <c r="M7" s="4">
        <v>670</v>
      </c>
      <c r="N7" s="4">
        <v>620</v>
      </c>
      <c r="O7" s="4">
        <v>650</v>
      </c>
      <c r="P7" s="4">
        <v>659.2</v>
      </c>
      <c r="Q7" s="4">
        <f>11065.9+2434.5</f>
        <v>13500.4</v>
      </c>
      <c r="R7" s="4">
        <f>8065.2+1774.3</f>
        <v>9839.5</v>
      </c>
    </row>
    <row r="8" spans="1:19" ht="36.75" customHeight="1" x14ac:dyDescent="0.35">
      <c r="A8" s="8"/>
      <c r="B8" s="3">
        <v>2210</v>
      </c>
      <c r="C8" s="24" t="s">
        <v>33</v>
      </c>
      <c r="D8" s="4">
        <f t="shared" ref="D8:D11" si="0">SUM(E8:P8)</f>
        <v>20.6</v>
      </c>
      <c r="E8" s="15"/>
      <c r="F8" s="15">
        <v>7</v>
      </c>
      <c r="G8" s="15"/>
      <c r="H8" s="15"/>
      <c r="I8" s="15"/>
      <c r="J8" s="15"/>
      <c r="K8" s="15"/>
      <c r="L8" s="15"/>
      <c r="M8" s="15">
        <v>13.6</v>
      </c>
      <c r="N8" s="15"/>
      <c r="O8" s="15"/>
      <c r="P8" s="15"/>
      <c r="Q8" s="4">
        <v>5</v>
      </c>
      <c r="R8" s="4">
        <v>5</v>
      </c>
    </row>
    <row r="9" spans="1:19" x14ac:dyDescent="0.35">
      <c r="A9" s="8"/>
      <c r="B9" s="3">
        <v>2230</v>
      </c>
      <c r="C9" s="24" t="s">
        <v>43</v>
      </c>
      <c r="D9" s="4">
        <f t="shared" si="0"/>
        <v>246.3</v>
      </c>
      <c r="E9" s="15">
        <v>66.5</v>
      </c>
      <c r="F9" s="15">
        <v>30</v>
      </c>
      <c r="G9" s="15">
        <v>30</v>
      </c>
      <c r="H9" s="15">
        <v>30</v>
      </c>
      <c r="I9" s="15">
        <v>30</v>
      </c>
      <c r="J9" s="15">
        <v>30</v>
      </c>
      <c r="K9" s="15">
        <v>29.8</v>
      </c>
      <c r="L9" s="15"/>
      <c r="M9" s="15"/>
      <c r="N9" s="15"/>
      <c r="O9" s="15"/>
      <c r="P9" s="15"/>
      <c r="Q9" s="4">
        <v>419.5</v>
      </c>
      <c r="R9" s="4">
        <v>354</v>
      </c>
    </row>
    <row r="10" spans="1:19" ht="36" x14ac:dyDescent="0.35">
      <c r="A10" s="8"/>
      <c r="B10" s="3">
        <v>2240</v>
      </c>
      <c r="C10" s="24" t="s">
        <v>34</v>
      </c>
      <c r="D10" s="4">
        <f t="shared" si="0"/>
        <v>53.7</v>
      </c>
      <c r="E10" s="15">
        <v>3.7</v>
      </c>
      <c r="F10" s="15">
        <v>12.7</v>
      </c>
      <c r="G10" s="15">
        <v>5.8</v>
      </c>
      <c r="H10" s="15">
        <v>3.5</v>
      </c>
      <c r="I10" s="15">
        <v>3.5</v>
      </c>
      <c r="J10" s="15">
        <v>3.5</v>
      </c>
      <c r="K10" s="15">
        <v>3.5</v>
      </c>
      <c r="L10" s="15">
        <v>3.5</v>
      </c>
      <c r="M10" s="15">
        <v>3.5</v>
      </c>
      <c r="N10" s="15">
        <v>3.5</v>
      </c>
      <c r="O10" s="15">
        <v>3.5</v>
      </c>
      <c r="P10" s="15">
        <v>3.5</v>
      </c>
      <c r="Q10" s="4">
        <v>328.3</v>
      </c>
      <c r="R10" s="4">
        <v>328.3</v>
      </c>
    </row>
    <row r="11" spans="1:19" x14ac:dyDescent="0.35">
      <c r="A11" s="8"/>
      <c r="B11" s="3">
        <v>2250</v>
      </c>
      <c r="C11" s="25" t="s">
        <v>44</v>
      </c>
      <c r="D11" s="4">
        <f t="shared" si="0"/>
        <v>5</v>
      </c>
      <c r="E11" s="15"/>
      <c r="F11" s="15"/>
      <c r="G11" s="15"/>
      <c r="H11" s="15">
        <v>5</v>
      </c>
      <c r="I11" s="15"/>
      <c r="J11" s="15"/>
      <c r="K11" s="15"/>
      <c r="L11" s="15"/>
      <c r="M11" s="15"/>
      <c r="N11" s="15"/>
      <c r="O11" s="15"/>
      <c r="P11" s="15"/>
      <c r="Q11" s="4">
        <v>1</v>
      </c>
      <c r="R11" s="4">
        <v>1</v>
      </c>
    </row>
    <row r="12" spans="1:19" ht="36" x14ac:dyDescent="0.35">
      <c r="A12" s="8"/>
      <c r="B12" s="57">
        <v>2270</v>
      </c>
      <c r="C12" s="61" t="s">
        <v>35</v>
      </c>
      <c r="D12" s="58">
        <f>D13+D14+D15</f>
        <v>203.7</v>
      </c>
      <c r="E12" s="58">
        <f t="shared" ref="E12:Q12" si="1">E13+E14+E15</f>
        <v>54.599999999999994</v>
      </c>
      <c r="F12" s="58">
        <f t="shared" si="1"/>
        <v>87.5</v>
      </c>
      <c r="G12" s="58">
        <f t="shared" si="1"/>
        <v>39.099999999999994</v>
      </c>
      <c r="H12" s="58">
        <f t="shared" si="1"/>
        <v>13.8</v>
      </c>
      <c r="I12" s="58">
        <f t="shared" si="1"/>
        <v>5.8999999999999995</v>
      </c>
      <c r="J12" s="58">
        <f t="shared" si="1"/>
        <v>1.3</v>
      </c>
      <c r="K12" s="58">
        <f t="shared" si="1"/>
        <v>1.5</v>
      </c>
      <c r="L12" s="58">
        <f t="shared" si="1"/>
        <v>0</v>
      </c>
      <c r="M12" s="58">
        <f t="shared" si="1"/>
        <v>0</v>
      </c>
      <c r="N12" s="58">
        <f t="shared" si="1"/>
        <v>0</v>
      </c>
      <c r="O12" s="58">
        <f t="shared" si="1"/>
        <v>0</v>
      </c>
      <c r="P12" s="58">
        <f t="shared" si="1"/>
        <v>0</v>
      </c>
      <c r="Q12" s="58">
        <f t="shared" si="1"/>
        <v>744</v>
      </c>
      <c r="R12" s="58">
        <f t="shared" ref="R12" si="2">R13+R14+R15</f>
        <v>274.13</v>
      </c>
      <c r="S12" s="5">
        <f>R13+R14+R15</f>
        <v>274.13</v>
      </c>
    </row>
    <row r="13" spans="1:19" x14ac:dyDescent="0.35">
      <c r="A13" s="8"/>
      <c r="B13" s="3">
        <v>2271</v>
      </c>
      <c r="C13" s="26" t="s">
        <v>39</v>
      </c>
      <c r="D13" s="4">
        <f t="shared" ref="D13:D17" si="3">SUM(E13:P13)</f>
        <v>130</v>
      </c>
      <c r="E13" s="15">
        <v>40.799999999999997</v>
      </c>
      <c r="F13" s="15">
        <v>64.5</v>
      </c>
      <c r="G13" s="15">
        <v>24.7</v>
      </c>
      <c r="H13" s="15"/>
      <c r="I13" s="15"/>
      <c r="J13" s="15"/>
      <c r="K13" s="15"/>
      <c r="L13" s="15"/>
      <c r="M13" s="15"/>
      <c r="N13" s="15"/>
      <c r="O13" s="15"/>
      <c r="P13" s="15"/>
      <c r="Q13" s="4">
        <v>555</v>
      </c>
      <c r="R13" s="4">
        <v>172.488</v>
      </c>
    </row>
    <row r="14" spans="1:19" ht="36" x14ac:dyDescent="0.35">
      <c r="A14" s="8"/>
      <c r="B14" s="3">
        <v>2272</v>
      </c>
      <c r="C14" s="25" t="s">
        <v>40</v>
      </c>
      <c r="D14" s="4">
        <f t="shared" si="3"/>
        <v>10.700000000000001</v>
      </c>
      <c r="E14" s="15">
        <v>1.3</v>
      </c>
      <c r="F14" s="15">
        <v>2.1</v>
      </c>
      <c r="G14" s="15">
        <v>1.9</v>
      </c>
      <c r="H14" s="15">
        <v>1.3</v>
      </c>
      <c r="I14" s="15">
        <v>1.3</v>
      </c>
      <c r="J14" s="15">
        <v>1.3</v>
      </c>
      <c r="K14" s="15">
        <v>1.5</v>
      </c>
      <c r="L14" s="15"/>
      <c r="M14" s="15"/>
      <c r="N14" s="15"/>
      <c r="O14" s="15"/>
      <c r="P14" s="15"/>
      <c r="Q14" s="4">
        <v>20</v>
      </c>
      <c r="R14" s="4">
        <v>7.8</v>
      </c>
    </row>
    <row r="15" spans="1:19" x14ac:dyDescent="0.35">
      <c r="A15" s="8"/>
      <c r="B15" s="3">
        <v>2273</v>
      </c>
      <c r="C15" s="26" t="s">
        <v>41</v>
      </c>
      <c r="D15" s="4">
        <f t="shared" si="3"/>
        <v>63</v>
      </c>
      <c r="E15" s="15">
        <v>12.5</v>
      </c>
      <c r="F15" s="15">
        <v>20.9</v>
      </c>
      <c r="G15" s="15">
        <v>12.5</v>
      </c>
      <c r="H15" s="15">
        <v>12.5</v>
      </c>
      <c r="I15" s="15">
        <v>4.5999999999999996</v>
      </c>
      <c r="J15" s="15"/>
      <c r="K15" s="15"/>
      <c r="L15" s="15"/>
      <c r="M15" s="15"/>
      <c r="N15" s="15"/>
      <c r="O15" s="15"/>
      <c r="P15" s="15"/>
      <c r="Q15" s="4">
        <v>169</v>
      </c>
      <c r="R15" s="4">
        <v>93.841999999999999</v>
      </c>
    </row>
    <row r="16" spans="1:19" x14ac:dyDescent="0.35">
      <c r="A16" s="8"/>
      <c r="B16" s="3">
        <v>2720</v>
      </c>
      <c r="C16" s="26" t="s">
        <v>48</v>
      </c>
      <c r="D16" s="4">
        <f t="shared" si="3"/>
        <v>5797.0999999999995</v>
      </c>
      <c r="E16" s="15">
        <v>557.20000000000005</v>
      </c>
      <c r="F16" s="15">
        <v>1153</v>
      </c>
      <c r="G16" s="15">
        <v>450</v>
      </c>
      <c r="H16" s="15">
        <v>450</v>
      </c>
      <c r="I16" s="15">
        <v>450</v>
      </c>
      <c r="J16" s="15">
        <v>450</v>
      </c>
      <c r="K16" s="15">
        <v>130</v>
      </c>
      <c r="L16" s="15">
        <v>200.6</v>
      </c>
      <c r="M16" s="15">
        <v>456.3</v>
      </c>
      <c r="N16" s="15">
        <v>500</v>
      </c>
      <c r="O16" s="15">
        <v>500</v>
      </c>
      <c r="P16" s="15">
        <v>500</v>
      </c>
      <c r="Q16" s="4">
        <v>6084.8</v>
      </c>
      <c r="R16" s="4">
        <v>4160.8559999999998</v>
      </c>
    </row>
    <row r="17" spans="1:18" x14ac:dyDescent="0.35">
      <c r="A17" s="8"/>
      <c r="B17" s="3">
        <v>2730</v>
      </c>
      <c r="C17" s="26" t="s">
        <v>46</v>
      </c>
      <c r="D17" s="4">
        <f t="shared" si="3"/>
        <v>600</v>
      </c>
      <c r="E17" s="15"/>
      <c r="F17" s="15"/>
      <c r="G17" s="15"/>
      <c r="H17" s="15"/>
      <c r="I17" s="15"/>
      <c r="J17" s="15"/>
      <c r="K17" s="15"/>
      <c r="L17" s="15"/>
      <c r="M17" s="15">
        <v>600</v>
      </c>
      <c r="N17" s="15"/>
      <c r="O17" s="15"/>
      <c r="P17" s="15"/>
      <c r="Q17" s="4">
        <v>1200</v>
      </c>
      <c r="R17" s="4">
        <v>18.018000000000001</v>
      </c>
    </row>
    <row r="18" spans="1:18" x14ac:dyDescent="0.35">
      <c r="A18" s="8"/>
      <c r="B18" s="12"/>
      <c r="C18" s="12"/>
      <c r="D18" s="9">
        <f>D7+D8+D9+D10+D11+D12+D16+D17</f>
        <v>18110.100000000002</v>
      </c>
      <c r="E18" s="9">
        <f t="shared" ref="E18:Q18" si="4">E7+E8+E9+E10+E11+E12+E16+E17</f>
        <v>1428</v>
      </c>
      <c r="F18" s="9">
        <f t="shared" si="4"/>
        <v>1940.2</v>
      </c>
      <c r="G18" s="9">
        <f t="shared" si="4"/>
        <v>1144.9000000000001</v>
      </c>
      <c r="H18" s="9">
        <f t="shared" si="4"/>
        <v>1122.3</v>
      </c>
      <c r="I18" s="9">
        <f t="shared" si="4"/>
        <v>1109.4000000000001</v>
      </c>
      <c r="J18" s="9">
        <f t="shared" si="4"/>
        <v>1984.8</v>
      </c>
      <c r="K18" s="9">
        <f t="shared" si="4"/>
        <v>614.79999999999995</v>
      </c>
      <c r="L18" s="9">
        <f t="shared" si="4"/>
        <v>604.1</v>
      </c>
      <c r="M18" s="9">
        <f t="shared" si="4"/>
        <v>1743.4</v>
      </c>
      <c r="N18" s="9">
        <f t="shared" si="4"/>
        <v>1123.5</v>
      </c>
      <c r="O18" s="9">
        <f t="shared" si="4"/>
        <v>1153.5</v>
      </c>
      <c r="P18" s="9">
        <f t="shared" si="4"/>
        <v>1162.7</v>
      </c>
      <c r="Q18" s="9">
        <f t="shared" si="4"/>
        <v>22283</v>
      </c>
      <c r="R18" s="81">
        <f t="shared" ref="R18" si="5">R7+R8+R9+R10+R11+R12+R16+R17</f>
        <v>14980.803999999998</v>
      </c>
    </row>
    <row r="19" spans="1:18" x14ac:dyDescent="0.35">
      <c r="B19" s="48"/>
      <c r="C19" s="48"/>
      <c r="D19" s="48"/>
    </row>
    <row r="20" spans="1:18" x14ac:dyDescent="0.35">
      <c r="B20" s="48"/>
      <c r="C20" s="48"/>
      <c r="D20" s="48"/>
    </row>
    <row r="21" spans="1:18" x14ac:dyDescent="0.35">
      <c r="B21" s="48"/>
      <c r="C21" s="48"/>
      <c r="D21" s="48"/>
    </row>
    <row r="22" spans="1:18" x14ac:dyDescent="0.35">
      <c r="B22" s="48"/>
      <c r="C22" s="48"/>
      <c r="D22" s="48"/>
    </row>
    <row r="23" spans="1:18" x14ac:dyDescent="0.35">
      <c r="B23" s="48"/>
      <c r="C23" s="48"/>
      <c r="D23" s="48"/>
    </row>
    <row r="24" spans="1:18" x14ac:dyDescent="0.35">
      <c r="B24" s="48"/>
      <c r="C24" s="48"/>
      <c r="D24" s="48"/>
    </row>
    <row r="25" spans="1:18" x14ac:dyDescent="0.35">
      <c r="B25" s="48"/>
      <c r="C25" s="48"/>
      <c r="D25" s="48"/>
    </row>
    <row r="26" spans="1:18" x14ac:dyDescent="0.35">
      <c r="B26" s="48"/>
      <c r="C26" s="48"/>
      <c r="D26" s="48"/>
    </row>
    <row r="27" spans="1:18" x14ac:dyDescent="0.35">
      <c r="B27" s="48"/>
      <c r="C27" s="48"/>
      <c r="D27" s="48"/>
    </row>
    <row r="28" spans="1:18" x14ac:dyDescent="0.35">
      <c r="B28" s="48"/>
      <c r="C28" s="48"/>
      <c r="D28" s="48"/>
    </row>
    <row r="29" spans="1:18" x14ac:dyDescent="0.35">
      <c r="B29" s="48"/>
      <c r="C29" s="48"/>
      <c r="D29" s="48"/>
    </row>
    <row r="30" spans="1:18" x14ac:dyDescent="0.35">
      <c r="B30" s="48"/>
      <c r="C30" s="48"/>
      <c r="D30" s="48"/>
    </row>
    <row r="31" spans="1:18" x14ac:dyDescent="0.35">
      <c r="B31" s="48"/>
      <c r="C31" s="48"/>
      <c r="D31" s="48"/>
    </row>
    <row r="32" spans="1:18" x14ac:dyDescent="0.35">
      <c r="B32" s="48"/>
      <c r="C32" s="48"/>
      <c r="D32" s="48"/>
    </row>
    <row r="33" spans="2:4" x14ac:dyDescent="0.35">
      <c r="B33" s="48"/>
      <c r="C33" s="48"/>
      <c r="D33" s="48"/>
    </row>
    <row r="34" spans="2:4" x14ac:dyDescent="0.35">
      <c r="B34" s="48"/>
      <c r="C34" s="48"/>
      <c r="D34" s="48"/>
    </row>
    <row r="35" spans="2:4" x14ac:dyDescent="0.35">
      <c r="B35" s="48"/>
      <c r="C35" s="48"/>
    </row>
  </sheetData>
  <mergeCells count="4">
    <mergeCell ref="A1:R1"/>
    <mergeCell ref="A2:R2"/>
    <mergeCell ref="A3:R3"/>
    <mergeCell ref="A5:R5"/>
  </mergeCells>
  <pageMargins left="0.9055118110236221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Школа екстернів</vt:lpstr>
      <vt:lpstr>Спорт. ліцей</vt:lpstr>
      <vt:lpstr>Палац</vt:lpstr>
      <vt:lpstr>Тур станція</vt:lpstr>
      <vt:lpstr>МАН</vt:lpstr>
      <vt:lpstr>БХТТ</vt:lpstr>
      <vt:lpstr>Відділи ДОМНС 401 (2)</vt:lpstr>
      <vt:lpstr>ПТУ</vt:lpstr>
      <vt:lpstr>Грінченка 601</vt:lpstr>
      <vt:lpstr>Грінченка 602</vt:lpstr>
      <vt:lpstr>Грінченка 701</vt:lpstr>
      <vt:lpstr>Центр ПК</vt:lpstr>
      <vt:lpstr>Центр моніторингу</vt:lpstr>
      <vt:lpstr>Відділи ДОМНС 802 </vt:lpstr>
      <vt:lpstr>Відділи ДОМНС 803</vt:lpstr>
      <vt:lpstr>Відділи ДОМНС 804</vt:lpstr>
      <vt:lpstr>Відділи ДОМНС 807 (2)</vt:lpstr>
      <vt:lpstr>Відділи ДОМНС201</vt:lpstr>
      <vt:lpstr>Будинок вчителя</vt:lpstr>
      <vt:lpstr>Група впровадження (807)</vt:lpstr>
      <vt:lpstr>Свод</vt:lpstr>
      <vt:lpstr>Свод без КЕКв</vt:lpstr>
      <vt:lpstr>'Школа екстернів'!Заголовки_для_печати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Сорока Оксана Василівна</dc:creator>
  <cp:lastModifiedBy>Наталя Онищенко</cp:lastModifiedBy>
  <cp:lastPrinted>2016-02-12T06:32:19Z</cp:lastPrinted>
  <dcterms:created xsi:type="dcterms:W3CDTF">2012-01-20T09:16:52Z</dcterms:created>
  <dcterms:modified xsi:type="dcterms:W3CDTF">2016-12-06T15:38:18Z</dcterms:modified>
</cp:coreProperties>
</file>